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655" activeTab="0"/>
  </bookViews>
  <sheets>
    <sheet name="KQKD" sheetId="1" r:id="rId1"/>
    <sheet name="TMBC" sheetId="2" r:id="rId2"/>
    <sheet name="CDKT" sheetId="3" r:id="rId3"/>
    <sheet name="LCTT" sheetId="4" r:id="rId4"/>
    <sheet name="CBTT" sheetId="5" r:id="rId5"/>
  </sheets>
  <definedNames/>
  <calcPr fullCalcOnLoad="1"/>
</workbook>
</file>

<file path=xl/sharedStrings.xml><?xml version="1.0" encoding="utf-8"?>
<sst xmlns="http://schemas.openxmlformats.org/spreadsheetml/2006/main" count="817" uniqueCount="715">
  <si>
    <t>+ ThuÕ thu nhËp doanh nghiÖp</t>
  </si>
  <si>
    <t>+ ThuÕ thu nhËp c¸ nh©n</t>
  </si>
  <si>
    <t xml:space="preserve">      TiÒn göi kú h¹n 01 th¸ng</t>
  </si>
  <si>
    <t>* Gi¸ trÞ ghi sæ cña hµng tån kho dïng ®Ó thÕ chÊp, cÇm cè ®¶m b¶o cho c¸c kho¶n nî ph¶i tr¶:</t>
  </si>
  <si>
    <t xml:space="preserve">* Gi¸ trÞ hoµn nhËp dù phßng gi¶m gi¸ hµng tån kho trong kú:                                  </t>
  </si>
  <si>
    <t>T¨ng kh¸c</t>
  </si>
  <si>
    <t>ChuyÓn sang B§S ®Çu t­</t>
  </si>
  <si>
    <t>Kú nµy</t>
  </si>
  <si>
    <t>+ Chi phÝ H§QT, BKS</t>
  </si>
  <si>
    <t>10.1. Lîi nhuËn n¨m tr­íc</t>
  </si>
  <si>
    <t>10.2. Lîi nhuËn n¨m nay</t>
  </si>
  <si>
    <t>(Ban hµnh theo Q§ sè 15/2006/Q§-BTC ngµy 20/3/2006)</t>
  </si>
  <si>
    <t>KÕt qu¶ ho¹t ®éng s¶n xuÊt kinh doanh</t>
  </si>
  <si>
    <t>§¬n vÞ tÝnh: §ång VN</t>
  </si>
  <si>
    <t xml:space="preserve"> minh</t>
  </si>
  <si>
    <t>01</t>
  </si>
  <si>
    <t>VI.25</t>
  </si>
  <si>
    <t>02</t>
  </si>
  <si>
    <t>VI.27</t>
  </si>
  <si>
    <t>VI.26</t>
  </si>
  <si>
    <t>VI.28</t>
  </si>
  <si>
    <t>VI.31</t>
  </si>
  <si>
    <t>VI.32</t>
  </si>
  <si>
    <t>Ghi chó</t>
  </si>
  <si>
    <t>B¶ng c©n ®èi kÕ to¸n</t>
  </si>
  <si>
    <t xml:space="preserve">                                     §¬n vÞ tÝnh: §ång VN</t>
  </si>
  <si>
    <t>Tµi s¶n</t>
  </si>
  <si>
    <t>M· sè</t>
  </si>
  <si>
    <t>T.minh</t>
  </si>
  <si>
    <t>Sè ®Çu n¨m</t>
  </si>
  <si>
    <t>QuÝ II</t>
  </si>
  <si>
    <t>QuÝ III/2001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</si>
  <si>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</si>
  <si>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</si>
  <si>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</si>
  <si>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</si>
  <si>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</si>
  <si>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</si>
  <si>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</si>
  <si>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</si>
  <si>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</si>
  <si>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</si>
  <si>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</si>
  <si>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</si>
  <si>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</si>
  <si>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</si>
  <si>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</si>
  <si>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</si>
  <si>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</si>
  <si>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</si>
  <si>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</si>
  <si>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2. Dù phßng gi¶m gi¸ hµng tån kho(*)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</si>
  <si>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</si>
  <si>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</si>
  <si>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</si>
  <si>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</si>
  <si>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</si>
  <si>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</si>
  <si>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</si>
  <si>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</si>
  <si>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</si>
  <si>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</si>
  <si>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</si>
  <si>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</si>
  <si>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</si>
  <si>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</si>
  <si>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</si>
  <si>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</si>
  <si>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</si>
  <si>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</si>
  <si>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</si>
  <si>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</si>
  <si>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</si>
  <si>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</si>
  <si>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</si>
  <si>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</si>
  <si>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</si>
  <si>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</si>
  <si>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</si>
  <si>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</si>
  <si>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</si>
  <si>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</si>
  <si>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</si>
  <si>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</si>
  <si>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</si>
  <si>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</si>
  <si>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</si>
  <si>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</si>
  <si>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</si>
  <si>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</si>
  <si>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</si>
  <si>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</si>
  <si>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</si>
  <si>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Nguån vèn</t>
  </si>
  <si>
    <t>Sè cuèi kú</t>
  </si>
  <si>
    <t>Sè cuèi n¨m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</si>
  <si>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</si>
  <si>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</si>
  <si>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</si>
  <si>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</si>
  <si>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</si>
  <si>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</si>
  <si>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</si>
  <si>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</si>
  <si>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</si>
  <si>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</si>
  <si>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</si>
  <si>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</si>
  <si>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</si>
  <si>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</si>
  <si>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</si>
  <si>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</si>
  <si>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</si>
  <si>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</si>
  <si>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</si>
  <si>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</si>
  <si>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</si>
  <si>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</si>
  <si>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</si>
  <si>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</si>
  <si>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</si>
  <si>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</si>
  <si>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</si>
  <si>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</si>
  <si>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</si>
  <si>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</si>
  <si>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</si>
  <si>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</si>
  <si>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</si>
  <si>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</si>
  <si>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</si>
  <si>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</si>
  <si>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</si>
  <si>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</si>
  <si>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</si>
  <si>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</si>
  <si>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Tæng céng nguån vèn (440=300+400)</t>
  </si>
  <si>
    <t>Gi¸m ®èc</t>
  </si>
  <si>
    <t>Luü kÕ n¨m</t>
  </si>
  <si>
    <t>ThuyÕt minh b¸o c¸o tµi chÝnh</t>
  </si>
  <si>
    <t>VI- Th«ng tin bæ sung cho c¸c kho¶n môc tr×nh bµy trong B¶ng c©n ®èi kÕ to¸n.</t>
  </si>
  <si>
    <t>+ TiÒn mÆt</t>
  </si>
  <si>
    <t>+ TiÒn göi ng©n hµng</t>
  </si>
  <si>
    <t>Céng</t>
  </si>
  <si>
    <t>+ Ph¶i thu kh¸c</t>
  </si>
  <si>
    <t>+ Nguyªn liÖu, vËt liÖu</t>
  </si>
  <si>
    <t>+ C«ng cô, dông cô</t>
  </si>
  <si>
    <t>+ Thµnh phÈm</t>
  </si>
  <si>
    <t>+ Hµng ho¸</t>
  </si>
  <si>
    <t>+ Hµng göi ®i b¸n</t>
  </si>
  <si>
    <t>+ Dù phßng gi¶m gi¸ hµng tån kho</t>
  </si>
  <si>
    <t xml:space="preserve">Céng gi¸ gèc hµng tån kho </t>
  </si>
  <si>
    <t>M¸y mãc</t>
  </si>
  <si>
    <t>Ph­¬ng tiÖn</t>
  </si>
  <si>
    <t>ThiÕt bÞ</t>
  </si>
  <si>
    <t>TSC§</t>
  </si>
  <si>
    <t xml:space="preserve">Tæng </t>
  </si>
  <si>
    <t>Chi tiÕt</t>
  </si>
  <si>
    <t>Nhµ cöa</t>
  </si>
  <si>
    <t xml:space="preserve">vËn t¶i </t>
  </si>
  <si>
    <t>kh¸c</t>
  </si>
  <si>
    <t>céng</t>
  </si>
  <si>
    <t>truyÒn dÉn</t>
  </si>
  <si>
    <t>Nguyªn gi¸ TSC§ h÷u h×nh</t>
  </si>
  <si>
    <t>Sè d­ ®Çu kú</t>
  </si>
  <si>
    <t>+ Mua trong kú</t>
  </si>
  <si>
    <t>+ §Çu t­ XDCB hoµn thµnh</t>
  </si>
  <si>
    <t>+ T¨ng kh¸c</t>
  </si>
  <si>
    <t>+ Thanh lý, nh­îng b¸n</t>
  </si>
  <si>
    <t>+ Gi¶m kh¸c</t>
  </si>
  <si>
    <t>Sè d­ cuèi kú</t>
  </si>
  <si>
    <t>Gi¸ trÞ hao mßn luü kÕ</t>
  </si>
  <si>
    <t>KhÊu hao trong kú</t>
  </si>
  <si>
    <t>Thanh lý, nh­îng b¸n</t>
  </si>
  <si>
    <t>Gi¸ trÞ cßn l¹i cña TSC§ HH</t>
  </si>
  <si>
    <t>T¹i ngµy ®Çu kú</t>
  </si>
  <si>
    <t>T¹i ngµy cuèi kú</t>
  </si>
  <si>
    <t xml:space="preserve">* Nguyªn gi¸ TSC§ cuèi n¨m chê thanh lý: </t>
  </si>
  <si>
    <t>* C¸c thay ®æi kh¸c vÒ TSC§ h÷u h×nh</t>
  </si>
  <si>
    <t>QuyÒn</t>
  </si>
  <si>
    <t>B¶n quyÒn,</t>
  </si>
  <si>
    <t>Nh·n</t>
  </si>
  <si>
    <t>Kho¶n môc</t>
  </si>
  <si>
    <t>sö dông</t>
  </si>
  <si>
    <t>b»ng</t>
  </si>
  <si>
    <t>hiÖu</t>
  </si>
  <si>
    <t>v« h×nh</t>
  </si>
  <si>
    <t>Tæng céng</t>
  </si>
  <si>
    <t>®Êt</t>
  </si>
  <si>
    <t>s¸ng chÕ</t>
  </si>
  <si>
    <t>hµng ho¸</t>
  </si>
  <si>
    <t>Nguyªn gi¸ TSC§ v« h×nh</t>
  </si>
  <si>
    <t>+ T¨ng tõ ®Çu t­ XDCB</t>
  </si>
  <si>
    <t>+ T¨ng do hîp nhÊt KD</t>
  </si>
  <si>
    <t>+ KhÊu hao trong kú</t>
  </si>
  <si>
    <t>Gi¸ trÞ cßn l¹i cña TSC§ VH</t>
  </si>
  <si>
    <t>+ T¹i ngµy ®Çu kú</t>
  </si>
  <si>
    <t>+ T¹i ngµy cuèi kú</t>
  </si>
  <si>
    <t>Chi tiÕt c«ng tr×nh</t>
  </si>
  <si>
    <t>+ TiÒn c­îc thuª gian hµng</t>
  </si>
  <si>
    <t>+ Kinh phÝ C«ng ®oµn</t>
  </si>
  <si>
    <t>+ Ph¶i tr¶ kh¸c -  TK 1388</t>
  </si>
  <si>
    <t>a. B¶ng ®èi chiÕu biÕn ®éng cña vèn chñ së h÷u</t>
  </si>
  <si>
    <t>Vèn ®Çu t­</t>
  </si>
  <si>
    <t>ThÆng d­</t>
  </si>
  <si>
    <t>Vèn kh¸c</t>
  </si>
  <si>
    <t>Chªnh lÖch</t>
  </si>
  <si>
    <t xml:space="preserve">cña chñ </t>
  </si>
  <si>
    <t>vèn</t>
  </si>
  <si>
    <t>cña chñ</t>
  </si>
  <si>
    <t>®¸nh gi¸</t>
  </si>
  <si>
    <t>tû gi¸</t>
  </si>
  <si>
    <t>.......</t>
  </si>
  <si>
    <t>®Çu t­</t>
  </si>
  <si>
    <t>së h÷u</t>
  </si>
  <si>
    <t>cæ phÇn</t>
  </si>
  <si>
    <t>l¹i tµi s¶n</t>
  </si>
  <si>
    <t>hèi ®o¸i</t>
  </si>
  <si>
    <t>XDCB</t>
  </si>
  <si>
    <t>A</t>
  </si>
  <si>
    <t>+ T¨ng vèn trong n¨m tr­íc</t>
  </si>
  <si>
    <t>+ L·i trong n¨m tr­íc</t>
  </si>
  <si>
    <t>+ Gi¶m vèn trong n¨m tr­íc</t>
  </si>
  <si>
    <t>+ Lç trong n¨m tr­íc</t>
  </si>
  <si>
    <t>+ T¨ng vèn trong n¨m nay</t>
  </si>
  <si>
    <t>+ L·i trong n¨m nay</t>
  </si>
  <si>
    <t>+ Gi¶m vèn trong n¨m nay</t>
  </si>
  <si>
    <t>§Çu n¨m</t>
  </si>
  <si>
    <t>e. C¸c quü cña doanh nghiÖp</t>
  </si>
  <si>
    <t>+ Quü ®Çu t­ ph¸t triÓn s¶n xuÊt</t>
  </si>
  <si>
    <t>+ Quü dù phßng tµi chÝnh</t>
  </si>
  <si>
    <t>VI. Th«ng tin bæ sung cho c¸c kho¶n môc tr×nh bµy trong b¸o c¸o kÕt qu¶ ho¹t ®éng SXKD</t>
  </si>
  <si>
    <t>- Doanh thu b¸n hµng ho¸</t>
  </si>
  <si>
    <t>- Doanh thu b¸n c¸c thµnh phÈm</t>
  </si>
  <si>
    <t>- Doanh thu cung cÊp dÞch vô</t>
  </si>
  <si>
    <t>Trong ®ã: - Doanh thu thuÇn trao ®æi hµng ho¸</t>
  </si>
  <si>
    <t>- Doanh thu thuÇn b¸n thµnh phÈm s¶n xuÊt</t>
  </si>
  <si>
    <t>- Doanh thu thuÇn trao ®æi dÞch vô</t>
  </si>
  <si>
    <t>+ Gi¸ vèn cña hµng ho¸ ®· b¸n</t>
  </si>
  <si>
    <t>+ Gi¸ vèn cña thµnh phÈm ®· b¸n</t>
  </si>
  <si>
    <t>+ L·i tiÒn vay</t>
  </si>
  <si>
    <t>+ TiÒn l­¬ng nh©n viªn b¸n hµng</t>
  </si>
  <si>
    <t>+ Chi dÞch vô mua ngoµi</t>
  </si>
  <si>
    <t>+ Chi phÝ b¸n hµng trùc tiÕp</t>
  </si>
  <si>
    <t>+ Chi phÝ kh¸c phôc vô b¸n hµng</t>
  </si>
  <si>
    <t>+ TiÒn l­¬ng nh©n viªn qu¶n lý</t>
  </si>
  <si>
    <t>+ Chi nguyªn nhiªn vËt liÖu</t>
  </si>
  <si>
    <t>+ Chi ®å dïng v¨n phßng</t>
  </si>
  <si>
    <t>+ KhÊu hao TSC§</t>
  </si>
  <si>
    <t>+ ThuÕ, phÝ vµ lÖ phÝ</t>
  </si>
  <si>
    <t>+ Chi phÝ nguyªn vËt liÖu</t>
  </si>
  <si>
    <t>+ Chi phÝ nhiªn liÖu</t>
  </si>
  <si>
    <t>+ Chi phÝ tiÒn l­¬ng</t>
  </si>
  <si>
    <t>+ TiÒn ¨n ca</t>
  </si>
  <si>
    <r>
      <t>VIII- Nh÷ng th«ng tin kh¸c</t>
    </r>
    <r>
      <rPr>
        <sz val="12"/>
        <color indexed="12"/>
        <rFont val=".VnTime"/>
        <family val="2"/>
      </rPr>
      <t>:</t>
    </r>
  </si>
  <si>
    <t>+ C¸c kho¶n t­¬ng ®­¬ng tiÒn</t>
  </si>
  <si>
    <t>+ Gi¸ vèn cña dÞch vô cung cÊp</t>
  </si>
  <si>
    <t xml:space="preserve">               C«ng ty CP ChÕ T¹o B¬m h¶I D­¬ng</t>
  </si>
  <si>
    <t xml:space="preserve">                Sè 37 §¹i lé Hå ChÝ Minh - TP H¶i D­¬ng</t>
  </si>
  <si>
    <t>MÉu sè B01a-DN</t>
  </si>
  <si>
    <t xml:space="preserve">Sè cuèi kú </t>
  </si>
  <si>
    <t xml:space="preserve">        Ph¶i thu kh¸c - TK 1388</t>
  </si>
  <si>
    <t>Cuèi kú</t>
  </si>
  <si>
    <t>+ Lix¨ng cña H§ trî gióp kü thuËt AVK</t>
  </si>
  <si>
    <t>VI.29</t>
  </si>
  <si>
    <t>VI.30</t>
  </si>
  <si>
    <t>11. Quü khen th­ëng, phóc lîi</t>
  </si>
  <si>
    <t>1. Nguån kinh phÝ</t>
  </si>
  <si>
    <t>2. Nguån kinh phÝ ®· h×nh thµnh TSC§</t>
  </si>
  <si>
    <t>* C¸c cam kÕt vÒ viÖc mua b¸n TSC§……</t>
  </si>
  <si>
    <t>+ Chi phÝ b¶o hµnh s¶n phÈm</t>
  </si>
  <si>
    <t>+ Chi phÝ dù phßng ph¶i thu khã ®ßi</t>
  </si>
  <si>
    <t>* Nguyªn gi¸ TSC§ cuèi kú ®·  
KH hÕt nh­ng vÉn cßn sö dông:</t>
  </si>
  <si>
    <t>+ Chi phÝ qu¶ng c¸o</t>
  </si>
  <si>
    <r>
      <t xml:space="preserve">B. Tµi s¶n  dµi h¹n </t>
    </r>
    <r>
      <rPr>
        <b/>
        <u val="single"/>
        <sz val="10"/>
        <color indexed="12"/>
        <rFont val=".VnTimeH"/>
        <family val="2"/>
      </rPr>
      <t>(200=210+220+240+250+260)</t>
    </r>
  </si>
  <si>
    <r>
      <t>A. Tµi s¶n ng¾n h¹n</t>
    </r>
    <r>
      <rPr>
        <b/>
        <u val="single"/>
        <sz val="11"/>
        <color indexed="12"/>
        <rFont val=".VnTimeH"/>
        <family val="2"/>
      </rPr>
      <t xml:space="preserve"> </t>
    </r>
    <r>
      <rPr>
        <b/>
        <u val="single"/>
        <sz val="10"/>
        <color indexed="12"/>
        <rFont val=".VnTimeH"/>
        <family val="2"/>
      </rPr>
      <t>(100 = 110+120+130+140+150)</t>
    </r>
  </si>
  <si>
    <t>+ C¸c kho¶n t¹m øng cña ng­êi lao ®éng</t>
  </si>
  <si>
    <t>+ Chi phÝ tr¶ tr­íc dµi h¹n kh¸c</t>
  </si>
  <si>
    <t>+ Vay ng¾n h¹n NH c«ng th­¬ng H¶i D­¬ng</t>
  </si>
  <si>
    <t>(Theo ph­¬ng ph¸p trùc tiÕp)</t>
  </si>
  <si>
    <t xml:space="preserve">                      §¬n vÞ tÝnh: ®ång VN</t>
  </si>
  <si>
    <t>ThuyÕt
minh</t>
  </si>
  <si>
    <t>ChØ tiªu</t>
  </si>
  <si>
    <t>I- L­u chuyÓn tiÒn tõ ho¹t ®éng kinh doanh</t>
  </si>
  <si>
    <t>1.TiÒn thu tõ b¸n hµng, CCDV vµ doanh thu kh¸c</t>
  </si>
  <si>
    <t xml:space="preserve">2.TiÒn chi tr¶ cho ng­êi CC hµng ho¸ &amp; dÞch vô </t>
  </si>
  <si>
    <t>3.TiÒn chi tr¶ cho ng­êi lao ®éng</t>
  </si>
  <si>
    <t>03</t>
  </si>
  <si>
    <t>04</t>
  </si>
  <si>
    <t>5.TiÒn chi nép thuÕ thu nhËp doanh nghiÖp</t>
  </si>
  <si>
    <t>05</t>
  </si>
  <si>
    <t>6.TiÒn thu kh¸c tõ ho¹t ®éng kinh doanh</t>
  </si>
  <si>
    <t>06</t>
  </si>
  <si>
    <t>7.TiÒn chi kh¸c cho ho¹t ®éng kinh doanh</t>
  </si>
  <si>
    <t>07</t>
  </si>
  <si>
    <t>L­u chuyÓn thuÇn tõ ho¹t ®éng SXKD</t>
  </si>
  <si>
    <t>II - L­u chuyÓn tõ ho¹t ®éng ®Çu t­</t>
  </si>
  <si>
    <t>2. TiÒn thu tõ TL, nh­îng b¸n TSC§ &amp; c¸c TSDH #</t>
  </si>
  <si>
    <t>3. TiÒn chi cho vay, mua s¾m c¸c CC nî cña §V #</t>
  </si>
  <si>
    <t>4. TiÒn thu håi cho vay, b¸n l¹i c¸c CC nî cña §V #</t>
  </si>
  <si>
    <t>5. TiÒn chi ®Çu t­ gãp vèn vµo ®¬n vÞ kh¸c</t>
  </si>
  <si>
    <t>6. TiÒn thu håi ®Çu t­ gãp vèn vµo ®¬n vÞ kh¸c</t>
  </si>
  <si>
    <t>L­u chuyÓn thuÇn tõ ho¹t ®éng ®Çu t­</t>
  </si>
  <si>
    <t>III - L­u chuyÓn tiÒn tõ ho¹t ®éng tµi chÝnh</t>
  </si>
  <si>
    <t>1. TiÒn thu tõ p.hµnh CP, nhËn vèn gãp cña CSH</t>
  </si>
  <si>
    <t>3. TiÒn vay ng¾n h¹n, dµi h¹n nhËn ®­îc</t>
  </si>
  <si>
    <t>4. TiÒn chi tr¶ nî gèc vay</t>
  </si>
  <si>
    <t>5. TiÒn chi tr¶ nî thuª tµi chÝnh</t>
  </si>
  <si>
    <t xml:space="preserve">L­u chuyÓn tiÒn thuÇn tõ ho¹t ®éng tµi chÝnh </t>
  </si>
  <si>
    <t>L­u chuyÓn tiÒn thuÇn trong kú (50=20+30+40)</t>
  </si>
  <si>
    <t>TiÒn vµ t­¬ng ®­¬ng tiÒn ®Çu kú</t>
  </si>
  <si>
    <t>TiÒn &amp; t­¬ng ®­¬ng tiÒn cuèi kú (70=50+60+61)</t>
  </si>
  <si>
    <t>VII.34</t>
  </si>
  <si>
    <t xml:space="preserve">           (Ban hµnh theo Q§ sè 15/2006/Q§-BTC</t>
  </si>
  <si>
    <t xml:space="preserve">        MÉu sè B03a-DN</t>
  </si>
  <si>
    <t xml:space="preserve">           ngµy 20/03/2006 cña Bé tr­ëng BTC)</t>
  </si>
  <si>
    <t>+ Chi phÝ s¶n xuÊt kinh doanh dë dang</t>
  </si>
  <si>
    <t>+ ThuÕ gi¸ trÞ gia t¨ng t¹i Tp HCM</t>
  </si>
  <si>
    <t>+ L·i vay NH C«ng th­¬ng HD</t>
  </si>
  <si>
    <t xml:space="preserve">                        -   TK 3388</t>
  </si>
  <si>
    <r>
      <t xml:space="preserve">b¸o c¸o L­u chuyÓn tiÒn tÖ  </t>
    </r>
    <r>
      <rPr>
        <b/>
        <sz val="15"/>
        <rFont val=".VnTime"/>
        <family val="2"/>
      </rPr>
      <t xml:space="preserve"> </t>
    </r>
  </si>
  <si>
    <r>
      <t>¶</t>
    </r>
    <r>
      <rPr>
        <sz val="11"/>
        <rFont val=".VnArial Narrow"/>
        <family val="2"/>
      </rPr>
      <t>nh h­ëng cña thay ®æi TGH§ quy ®æi ngo¹i tÖ</t>
    </r>
  </si>
  <si>
    <t xml:space="preserve">              C«ng ty CP ChÕ T¹o B¬m h¶I D­¬ng</t>
  </si>
  <si>
    <t xml:space="preserve">                                   MÉu sè B02a-DN</t>
  </si>
  <si>
    <t>+ Vay ng¾n h¹n Tæng Cty CP TB§ ViÖt Nam</t>
  </si>
  <si>
    <t>+ Nhµ ¨n ca t¹m cña C«ng ty t¹i CS II</t>
  </si>
  <si>
    <t xml:space="preserve">+ Nhµ lµm viÖc t¹m khèi v¨n phßng t¹i CS II </t>
  </si>
  <si>
    <t>+ Nhµ vÖ sinh cña khèi v¨n phßng t¹m t¹i CS II</t>
  </si>
  <si>
    <t xml:space="preserve">2. TiÒn chi tr¶ vèn gãp cho c¸c CSH, mua l¹i CP </t>
  </si>
  <si>
    <t>+ Nhµ nÐn khÝ x­ëng §óc</t>
  </si>
  <si>
    <t>1. TiÒn chi ®Ó mua s¾m, XD TSC§ vµ c¸c TSDH #</t>
  </si>
  <si>
    <t xml:space="preserve">             Sè 37 §¹i lé Hå ChÝ Minh - TP H¶i D­¬ng</t>
  </si>
  <si>
    <t>dông cô</t>
  </si>
  <si>
    <t>qu¶n lý</t>
  </si>
  <si>
    <t xml:space="preserve">PhÇn mÒm </t>
  </si>
  <si>
    <t>m¸y</t>
  </si>
  <si>
    <t>vi tÝnh</t>
  </si>
  <si>
    <t>Cæ</t>
  </si>
  <si>
    <t>phiÕu</t>
  </si>
  <si>
    <t>quü</t>
  </si>
  <si>
    <t xml:space="preserve">+ Nhµ thay ®å X­ëng §óc CSII    </t>
  </si>
  <si>
    <t>+ ThuÕ gi¸ trÞ gia t¨ng t¹i Tp Hµ Néi</t>
  </si>
  <si>
    <t>8. Doanh thu ch­a thùc hiÖn</t>
  </si>
  <si>
    <t>N¨m 2012</t>
  </si>
  <si>
    <t xml:space="preserve">                                                     (Ban hµnh theo Q§ sè 15/2006/Q§-BTC</t>
  </si>
  <si>
    <t xml:space="preserve">                 C«ng ty CP ChÕ T¹o B¬m h¶I D­¬ng                                                                </t>
  </si>
  <si>
    <t xml:space="preserve">MÉu sè B03-DN     </t>
  </si>
  <si>
    <t xml:space="preserve">    cña Bé tr­ëng BTC)</t>
  </si>
  <si>
    <t>thiÕt</t>
  </si>
  <si>
    <t>bÞ</t>
  </si>
  <si>
    <t>+ ThuÕ gi¸ trÞ gia t¨ng t¹i HD</t>
  </si>
  <si>
    <t>Cho kú ho¹t ®éng tõ 01/01 ®Õn 31/03</t>
  </si>
  <si>
    <t>N¨m 2013</t>
  </si>
  <si>
    <t>+ ChiÕt khÊu thanh to¸n</t>
  </si>
  <si>
    <t>+ L·i ký quü c¸c H§ §¹i lý</t>
  </si>
  <si>
    <t>+ Vay ng¾n h¹n Cty CP ChÕ t¹o §iÖn c¬ Hµ Néi</t>
  </si>
  <si>
    <t>+ Vay ng¾n h¹n NH §Çu t­ vµ PT H¶i D­¬ng</t>
  </si>
  <si>
    <t>+ Vay ng¾n h¹n cña CB CNV C«ng ty</t>
  </si>
  <si>
    <t>- Hµng b¸n bÞ tr¶ l¹i</t>
  </si>
  <si>
    <t>+ BHXH, BHYT, BHTN, KPC§</t>
  </si>
  <si>
    <t>Cho kú BC tõ 01/04 ®Õn 30/06</t>
  </si>
  <si>
    <t xml:space="preserve">M·
 sè
</t>
  </si>
  <si>
    <t>ThuyÕt minh</t>
  </si>
  <si>
    <t xml:space="preserve">                 Sè 37 §¹i lé Hå ChÝ Minh - TP H¶i D­¬ng</t>
  </si>
  <si>
    <t xml:space="preserve"> (Ban hµnh theo Q§ sè 15/2006/Q§-BTCngµy 20/3/2006)</t>
  </si>
  <si>
    <t>+ Tµi s¶n cè ®Þnh chuyÓn ®æi theo Th«ng t­ 45/2013</t>
  </si>
  <si>
    <t>+ Vay ng¾n h¹n NH TMCP VIB H¶i D­¬ng</t>
  </si>
  <si>
    <t>+ Nguån kinh phÝ sù nghiªp</t>
  </si>
  <si>
    <t>+ Chi sù nghiÖp n¨m nay</t>
  </si>
  <si>
    <t xml:space="preserve">       Ph¶i tr¶ kh¸c - TK 338 </t>
  </si>
  <si>
    <t>+ §¹i lý Phóc H¶i - NghÖ An</t>
  </si>
  <si>
    <t>+ L·i vay NH VIB H¶i D­¬ng</t>
  </si>
  <si>
    <t>+ PhÝ kiÓm to¸n BCTC n¨m 2013</t>
  </si>
  <si>
    <t xml:space="preserve">+ TiÒn ký quü cña 02 H§ ®¹i lý </t>
  </si>
  <si>
    <t xml:space="preserve">        ng­êi lËp biÓu              gi¸m ®èc tµi chÝnh               tæng gi¸m ®èc c«ng ty</t>
  </si>
  <si>
    <t xml:space="preserve">     NguyÔn ThÞ Thu Thñy                    Bïi ThÞ LÖ Thuû                                 NguyÔn Träng Nam                     </t>
  </si>
  <si>
    <t xml:space="preserve">                                        </t>
  </si>
  <si>
    <t>Ng­êi lËp biÓu                  gi¸m ®èc tµi chÝnh                  tæng gi¸m ®èc c«ng ty</t>
  </si>
  <si>
    <t>NguyÔn ThÞ Thu Thñy                     Bïi ThÞ LÖ Thuû                                  NguyÔn Träng Nam</t>
  </si>
  <si>
    <t xml:space="preserve">          ng­êi lËp biÓu                          gi¸m ®èc tµi chÝnh                      tæng gi¸m ®èc c«ng ty</t>
  </si>
  <si>
    <t xml:space="preserve">      NguyÔn ThÞ Thu Thñy                                 Bïi ThÞ LÖ Thuû                                       NguyÔn Träng Nam</t>
  </si>
  <si>
    <t>3 -  Hµng tån kho</t>
  </si>
  <si>
    <t>4 - Tµi s¶n ng¾n h¹n kh¸c</t>
  </si>
  <si>
    <t>2 - C¸c kho¶n ph¶i thu ng¾n h¹n kh¸c</t>
  </si>
  <si>
    <t xml:space="preserve">1 - TiÒn                  </t>
  </si>
  <si>
    <t>6 - T¨ng, gi¶m tµi s¶n cè ®Þnh h÷u h×nh</t>
  </si>
  <si>
    <t>7 - T¨ng, gi¶m tµi s¶n cè ®Þnh v« h×nh:</t>
  </si>
  <si>
    <t>8 - Chi phÝ x©y dùng c¬ b¶n dë dang</t>
  </si>
  <si>
    <t>9 - Chi phÝ tr¶ tr­íc dµi h¹n</t>
  </si>
  <si>
    <t>10 - Vay vµ nî ng¾n h¹n</t>
  </si>
  <si>
    <t>5 - ThuÕ vµ c¸c kho¶n ph¶i thu cña Nhµ n­íc</t>
  </si>
  <si>
    <t>11 - ThuÕ vµ c¸c kho¶n ph¶i nép Nhµ n­íc</t>
  </si>
  <si>
    <t>12 -  Chi phÝ ph¶i tr¶</t>
  </si>
  <si>
    <t xml:space="preserve">+ CKTT, th­ëng doanh sè b¸n hµng §L Qu¶ng TrÞ </t>
  </si>
  <si>
    <t xml:space="preserve">+ CKTT, th­ëng doanh sè b¸n hµng §L VIHEM 1 </t>
  </si>
  <si>
    <t xml:space="preserve">+ CKTT, th­ëng doanh sè b¸n hµng §L §iÖn c¬ </t>
  </si>
  <si>
    <t>+ L·i vay NH CBCNV</t>
  </si>
  <si>
    <t>I. Đặc điểm hoạt động của doanh nghiệp</t>
  </si>
  <si>
    <t>các hệ thống máy bơm, van và các sản phẩm khác của công ty; chế tạo, cung ứng vật tư, thiết bị và</t>
  </si>
  <si>
    <t>lắp đặt các công trình điện hạ thế.</t>
  </si>
  <si>
    <t>4. Đặc điểm hoạt động kinh doanh của DN trong kỳ kế toán có ảnh hưởng đến báo cáo tài chính.</t>
  </si>
  <si>
    <t>II. Kỳ kế toán, đơn vị tiền tệ sử dụng trong kế toán.</t>
  </si>
  <si>
    <t>1. Niên độ kế toán bắt đầu từ 01/01/2014 kết thúc 31/12/2014</t>
  </si>
  <si>
    <t>2. Đơn vị tiền tệ sử dụng trong ghi chép kế toán: Đồng Việt nam</t>
  </si>
  <si>
    <t>III. Chuẩn mực và chế độ kế toán áp dụng.</t>
  </si>
  <si>
    <t>chuẩn mực kế toán Việt Nam do Bộ Tài chính ban hành các văn bản hướng dẫn  thực hiện kèm theo.</t>
  </si>
  <si>
    <t>2. Tuyên bố về tuân thủ chuẩn mực kế toán và chế độ kế toán.</t>
  </si>
  <si>
    <t>Cam kết tuân thủ, thực hiện đúng theo các Chuẩn mực kế toán và Chế độ kế toán Việt Nam hiện hành.</t>
  </si>
  <si>
    <t>3. Hình thức kế toán áp dụng: Nhật ký chứng từ</t>
  </si>
  <si>
    <t>IV. Các chính sách kế toán áp dụng.</t>
  </si>
  <si>
    <t>1. Nguyên tắc xác định các khoản tiền: Tiền mặt, tiền gửi NH, tiền đang chuyển gồm:</t>
  </si>
  <si>
    <t>+ Nguyên tắc xác định khoản tiền tương đương. Nguyên tắc giá thực tế, đích danh</t>
  </si>
  <si>
    <t>+ Nguyên tắc và phương pháp chuyển đổi các đồng tiền khác ra đồng tiền sử dụng trong kế toán:</t>
  </si>
  <si>
    <t>Các nghiệp vụ kinh tế phát sinh bằng ngoại tệ được quy đổi ra đồng Việt Nam theo tỷ giá hối đoái do NH</t>
  </si>
  <si>
    <t>Nhà nước công bố tại thời điểm phát sinh nghiệp vụ hoặc tại các thời điểm kết thúc niên độ, kỳ báo cáo.</t>
  </si>
  <si>
    <t>2. Nguyên tắc ghi nhận hàng tồn kho:</t>
  </si>
  <si>
    <t xml:space="preserve">bao gồm chi phí mua đối với hàng mua ngoài, chi phí sản xuất đối với hàng tự chế và các chi phí liên  </t>
  </si>
  <si>
    <t>quan trực tiếp phát sinh để có được hàng tồn kho ở địa điểm và trạng thái hiện tại.</t>
  </si>
  <si>
    <t>Đối với bán thành phẩm dở dang cuối kỳ: Được đánh giá theo phương pháp chi phí nguyên vật liệu chính.</t>
  </si>
  <si>
    <t xml:space="preserve">2.4. Lập dự phòng giảm giá hàng tồn kho: </t>
  </si>
  <si>
    <t xml:space="preserve">Dự phòng giảm giá hàng tồn kho được lập vào thời điểm cuối năm là số chênh lệch giữa giá gốc hàng tồn </t>
  </si>
  <si>
    <t>kho lớn hơn giá trị thuần có thể thực hiện được của chúng.</t>
  </si>
  <si>
    <t>3. Nguyên tắc ghi nhận và khấu hao tài sản cố định, bất động sản đầu tư.</t>
  </si>
  <si>
    <t>sản cố định được ghi nhận theo nguyên giá, hao mòn luỹ kế và giá trị còn lại.</t>
  </si>
  <si>
    <t xml:space="preserve">3.2. Nguyên tắc và phương pháp khấu hao TSCĐ hữu hình, TSCĐ vô hình: </t>
  </si>
  <si>
    <t xml:space="preserve"> Thực hiện Thông tư  45/2013/TT-BTC ngày 25/04/2013 của Bộ Tài chính, hướng dẫn chế độ quản lý, sử</t>
  </si>
  <si>
    <t>Công ty sử dụng tính khấu hao theo đường thẳng với thời gian sử dụng ước tính như sau:</t>
  </si>
  <si>
    <t xml:space="preserve">                            Nhà cửa vật kiến trúc</t>
  </si>
  <si>
    <t>06 - 25 năm</t>
  </si>
  <si>
    <t xml:space="preserve">                            Máy móc thiết bị</t>
  </si>
  <si>
    <t>05 - 10 năm</t>
  </si>
  <si>
    <t xml:space="preserve">                            Phương tiện vận tải</t>
  </si>
  <si>
    <t xml:space="preserve">                            Thiết bị văn phòng</t>
  </si>
  <si>
    <t>03 - 06 năm</t>
  </si>
  <si>
    <t>4. Nguyên tắc ghi nhận các khoản phải thu thương mại và phải thu khác</t>
  </si>
  <si>
    <t>theo tiến độ hợp đồng xây dựng và các khoản phải thu khác tại thời điểm báo cáo.</t>
  </si>
  <si>
    <t xml:space="preserve">* Có thời hạn thu hồi hoặc thanh toán dưới 01 năm (hoặc trong 01 chu kỳ sản xuất kinh doanh) </t>
  </si>
  <si>
    <t>được phân loại là tài sản ngắn hạn.</t>
  </si>
  <si>
    <t xml:space="preserve">* Có thời hạn thu hồi hoặc thanh toán trên 01 năm (hoặc hơn 01 chu kỳ sản xuất kinh doanh) </t>
  </si>
  <si>
    <t>được phân loại là tài sản dài hạn.</t>
  </si>
  <si>
    <t>4.2. Lập dự phòng phải thu:</t>
  </si>
  <si>
    <t xml:space="preserve">Dự phòng phải thu khó đòi thể hiện phần giá trị dự kiến bị tổn thất của các khoản nợ phải thu </t>
  </si>
  <si>
    <t>có khả năng không thu hồi được tại các thời điểm lập Báo cáo tài chính.</t>
  </si>
  <si>
    <t>5. Nguyên tắc ghi nhận và khấu hao bất động sản đầu tư.</t>
  </si>
  <si>
    <t>6. Nguyên tắc ghi nhận các khoản đầu tư tài chính.</t>
  </si>
  <si>
    <t>6.1. Nguyên tắc ghi nhận các khoản đầu tư vào công ty con, công ty liên kết.</t>
  </si>
  <si>
    <t xml:space="preserve">Khoản đầu tư vào Công ty con, Công ty liên kết được kế toán theo Phương pháp giá gốc. Lợi nhuận </t>
  </si>
  <si>
    <t xml:space="preserve">thuần được chia từ Công ty con, Công ty liên kết phát sinh sau ngày đầu tư được ghi nhận vào Báo </t>
  </si>
  <si>
    <t xml:space="preserve">cáo kết quả hoạt động sản xuất kinh doanh. Các khoản thu khác (ngoài lợi nhuận thuần) được  </t>
  </si>
  <si>
    <t>coi là phần thu hồi các khoản đầu tư và được ghi nhận là khoản giảm trừ giá gốc đầu tư.</t>
  </si>
  <si>
    <t>6.2. Nguyên tắc ghi nhận các khoản đầu tư chứng khoán ngắn hạn, dài hạn.</t>
  </si>
  <si>
    <t>Các khoản đầu tư chứng khoán tại thời điểm báo cáo.</t>
  </si>
  <si>
    <t xml:space="preserve">+ Có thời hạn thu hồi hoặc đáo hạn không quá 3 tháng kể từ ngày mua khoản đầu tư đó được coi  </t>
  </si>
  <si>
    <t>là "tương đương tiền"</t>
  </si>
  <si>
    <t xml:space="preserve">+ Có thời gian thu hồi vốn dưới 01 năm hoặc trong 1 chu kỳ sản xuất kinh doanh được phân loại  </t>
  </si>
  <si>
    <t>là tài sản ngắn hạn.</t>
  </si>
  <si>
    <t>6.3. Nguyên tắc ghi nhận các khoản đầu tư  ngắn hạn, dài hạn khác.</t>
  </si>
  <si>
    <t>Các khoản đầu tư khác tại thời điểm báo cáo.</t>
  </si>
  <si>
    <t xml:space="preserve">+ Có thời hạn thu hồi hoặc đáo hạn không quá 3 tháng kể từ ngày mua khoản đầu tư đó được coi </t>
  </si>
  <si>
    <t xml:space="preserve"> là "tương đương tiền"</t>
  </si>
  <si>
    <t xml:space="preserve">+ Có thời gian thu hồi vốn dưới 01 năm hoặc trong 1 chu kỳ sản xuất kinh doanh được phân loại </t>
  </si>
  <si>
    <t>6.4. Phương pháp lập dự phòng giảm giá đầu tư chứng khoán ngắn hạn, dài hạn.</t>
  </si>
  <si>
    <t xml:space="preserve">Dự phòng giảm giá đầu tư được lập vào thời điểm cuối năm, là số chênh lệch giữa giá gốc của các </t>
  </si>
  <si>
    <t xml:space="preserve">khoản  đầu tư được hạch toán trên trên sổ sách lớn hơn giá trị thị trường của chúng tại thời điểm </t>
  </si>
  <si>
    <t>lập dự phòng.</t>
  </si>
  <si>
    <t>6.5. Phương pháp ghi nhận lập dự phòng bảo hành sản phẩm.</t>
  </si>
  <si>
    <t xml:space="preserve">Dự phòng bảo hành sản phẩm được lập trên cơ sở các Hợp đồng đang thực thi, trong thời gian </t>
  </si>
  <si>
    <t>bảo hành sản phẩm, giá trị lập dự phòng bảo hành không quá 5% giá trị Hợp đồng.</t>
  </si>
  <si>
    <t>7. Nguyên tắc vốn hoá các khoản chi phí đi vay và các khoản chi phí khác.</t>
  </si>
  <si>
    <t>7.1. Nguyên tắc vốn hoá các khoản chi phí đi vay.</t>
  </si>
  <si>
    <t>Chi phí đi vay liên quan trực tiếp đến việc đầu tư xây dựng hoặc đầu tư TSCĐ được tính thẳng</t>
  </si>
  <si>
    <t xml:space="preserve">vào giá trị công trình, tài sản, bao gồm các khoản lãi tiền vay, các khoản chiết khấu hoặc phụ  </t>
  </si>
  <si>
    <t>trội khi phát hành trái phiếu, các khoản chi phí phát sinh liên quan tới quá trình làm thủ tục vay.</t>
  </si>
  <si>
    <t>Việc vốn hoá chi phí đi vay sẽ tạm ngừng trong giai đoạn mà quá trình đầu tư gián đoạn.</t>
  </si>
  <si>
    <t>Việc vốn hoá chi phí đi vay sẽ chấm dứt khi việc đầu tư hoàn thành hoặc đưa vào sử dụng .</t>
  </si>
  <si>
    <t xml:space="preserve">Các khoản thu nhập phát sinh do đầu tư tạm thời, các khoản vay riêng biệt trong khi chờ sử dụng  </t>
  </si>
  <si>
    <t>vào mục đích có được thì phải giảm trừ vào chi phí đi vay phát sinh khi vốn hoá.</t>
  </si>
  <si>
    <t>Chi phí đi vay được vốn hoá trong kỳ không được vượt quá tổng số chi phí đi vay phát sinh trong kỳ.</t>
  </si>
  <si>
    <t>7.2. Tỷ lệ vốn hoá chi phí đi vay được sử dụng để xác định chi phí đi vay được vốn hoá trong kỳ</t>
  </si>
  <si>
    <t xml:space="preserve">Trong kỳ, chi phí đi vay để phục vụ sản xuất kinh doanh được hạch toán vào kết quản sản xuất  </t>
  </si>
  <si>
    <t>kinh doanh của kỳ sản xuất ấy.</t>
  </si>
  <si>
    <t>8. Nguyên tắc ghi nhận và vốn hoá các khoản chi phí khác:</t>
  </si>
  <si>
    <t>8.1. Chi phí trả trước</t>
  </si>
  <si>
    <t xml:space="preserve">Chi phí trả trước phân bổ cho hoạt động đầu tư xây dựng cơ bản, cải tạo nâng cấp TSCĐ trong  </t>
  </si>
  <si>
    <t>kỳ được vốn hoá vào tài sản cố định đang được đầu tư, nâng cấp, cải tạo đó.</t>
  </si>
  <si>
    <t>8.2. Chi phí khác</t>
  </si>
  <si>
    <t xml:space="preserve">Các chi phí khác phục vụ cho hoạt động đầu tư xây dựng cơ bản, cải tạo nâng cấp TSCĐ trong  </t>
  </si>
  <si>
    <t>8.3. Phương pháp phân bổ chi phí trả trước:</t>
  </si>
  <si>
    <t xml:space="preserve">Các loại chi phí trả trước nếu chỉ liên quan đến năm tài chính hiện tại được ghi nhận vào chi phí  </t>
  </si>
  <si>
    <t>sản xuất kinh doanh trong năm tài chính.</t>
  </si>
  <si>
    <t xml:space="preserve">Việc tính và phân bổ chi phí trả trước dài hạn vào chi phí sản xuất kinh doanh từng kỳ hạch toán </t>
  </si>
  <si>
    <t>được căn cứ vào tính chất, mức độ từng loại chi phí để chọn phương pháp và tiêu thức phân bổ hợp lý.</t>
  </si>
  <si>
    <t>9. Nguyên tắc ghi nhận chi phí trả trước</t>
  </si>
  <si>
    <t>nhận là chi phí trả trước ngắn hạn</t>
  </si>
  <si>
    <t>dài hạn phân bổ dần vào kết quả hoạt động kinh doanh:</t>
  </si>
  <si>
    <t xml:space="preserve">          Công cụ dụng cụ xuất dùng có giá trị lớn.</t>
  </si>
  <si>
    <t xml:space="preserve">         Chi phí sửa chữa lớn tài sản cố định phát sinh 1 lần quá lớn.</t>
  </si>
  <si>
    <t>10. Nguyên tắc và phương pháp ghi nhận các khoản dự phòng phải trả.</t>
  </si>
  <si>
    <t>10.1. Nguyên tắc ghi nhận</t>
  </si>
  <si>
    <t xml:space="preserve">Các khoản dự phòng phải trả được ghi nhận theo nguyên tắc: Doanh nghiệp có nghĩa vụ nợ hiện </t>
  </si>
  <si>
    <t xml:space="preserve">tại trên cơ sở Hợp đồng, các cam kết ràng buộc. </t>
  </si>
  <si>
    <t xml:space="preserve">Sự giảm sút về lợi ích kinh tế có thể xảy ra dẫn đến việc yêu cầu phải thanh toán nghĩa vụ nợ, từ  </t>
  </si>
  <si>
    <t>đó một ước tính đáng tin cậy cho các nghĩa vụ nợ được đưa ra đảm bảo.</t>
  </si>
  <si>
    <t>10.2. Phương pháp ghi nhận</t>
  </si>
  <si>
    <t xml:space="preserve">Giá trị được ghi nhận của một khoản dự phòng phải trả là giá trị ước tính hợp lý nhất về khoản </t>
  </si>
  <si>
    <t>tiền sẽ phải chi trả để thanh toán nghĩa vụ nợ hiện tại tại ngày kết thúc kỳ kế toán.</t>
  </si>
  <si>
    <t>11. Nguyên tắc ghi nhận vốn chủ sở hữu:</t>
  </si>
  <si>
    <t>Vốn chủ sở hữu được ghi nhận trên nguyên tắc mệnh giá vốn đầu tư cổ phần và thặng dư cổ phần.</t>
  </si>
  <si>
    <t>12. Nguyên tắc và phương pháp ghi nhận doanh thu:</t>
  </si>
  <si>
    <t>12.1. Doanh thu bán hàng và cung cấp dịch vụ được ghi nhận khi đồng thời thoả mãn các điều kiện sau:</t>
  </si>
  <si>
    <t>cung cấp đã được chuyển giao cho người mua.</t>
  </si>
  <si>
    <t>kiểm soát, cũng như việc hoàn tất bàn giao các dịch vụ cung cấp.</t>
  </si>
  <si>
    <t>12.2. Doanh thu hoạt động tài chính</t>
  </si>
  <si>
    <t xml:space="preserve">Doanh thu phát sinh từ tiền lãi, tiền bản quyền, cổ tức, lợi nhuận được chia và các khoản doanh </t>
  </si>
  <si>
    <t>thu hoạt động tài chính khác được ghi nhận đồng thời thoả mãn 2 điều kiện sau:</t>
  </si>
  <si>
    <t>Cổ tức, lợi nhuận được ghi nhận khi Công ty được quyền nhận cổ tức hoặc lợi nhuận từ việc góp vốn.</t>
  </si>
  <si>
    <t>13. Nguyên tắc và phương pháp ghi nhận chi phí tài chính</t>
  </si>
  <si>
    <t xml:space="preserve">14. Nguyên tắc và phương pháp ghi nhận chi phí thuế thu nhập doanh nghiệp hiện hành, chi phí </t>
  </si>
  <si>
    <t>thuế thu nhập hoãn lại.</t>
  </si>
  <si>
    <t>15. Các nghiệp vụ dự phòng rủi ro hối đoái.</t>
  </si>
  <si>
    <t>16. Các nguyên tắc và phương pháp kế toán khác.</t>
  </si>
  <si>
    <t xml:space="preserve"> dụng và trích khấu hao tài sản cố định.</t>
  </si>
  <si>
    <t>- Các chi phí trả trước liên quan đến chi phí sản xuất kinh doanh năm tài chính hiện tại được ghi</t>
  </si>
  <si>
    <t>- Các chi phí sau đây đã phát sinh trong năm tài chính nhưng được hạch toán vào chi phí trả trước</t>
  </si>
  <si>
    <t>+ Phần lớn rủi ro và lợi ích gắn liền với quyền sở hữu sản phẩm hoặc hàng hoá và các dịch vụ</t>
  </si>
  <si>
    <t>+ Công ty không còn nắm giữ quyền quản lý hàng hoá như người sở hữu hàng hoá hoặc quyền</t>
  </si>
  <si>
    <t>+ Doanh thu được xác định tương đối chắc chắn.</t>
  </si>
  <si>
    <t>+ Công ty đã thu được hoặc sẽ thu được lợi ích kinh tế từ giao dịch kinh tế đó.</t>
  </si>
  <si>
    <t>+ Xác định được các khoản chi phí liên quan đến giao dịch kinh tế.</t>
  </si>
  <si>
    <t>+ Có khả năng thu được lợi ích từ giao dịch đó.</t>
  </si>
  <si>
    <t>13 -  C¸c kho¶n ph¶i tr¶, ph¶i nép ng¾n h¹n kh¸c</t>
  </si>
  <si>
    <t>14 - Doanh thu chưa thực hiện</t>
  </si>
  <si>
    <t>+ GT hoàn thành CT trạm bơm Kinh Thanh</t>
  </si>
  <si>
    <t>+ GT cho thuê cửa hàng trả trước</t>
  </si>
  <si>
    <t>15 -  Phải trả dài hạn khác</t>
  </si>
  <si>
    <t>16 - Nguån kinh phÝ, quü kh¸c</t>
  </si>
  <si>
    <t>17 -  Vèn chñ së h÷u</t>
  </si>
  <si>
    <t>16.1. Nguån kinh phÝ sù nghiÖp</t>
  </si>
  <si>
    <t>16.2. Nguån kinh phÝ ®· h×nh thµnh tµi s¶n</t>
  </si>
  <si>
    <t>Số dư tại ngày 01/01/2013</t>
  </si>
  <si>
    <t>Số dư tại ngày 31/12/2013</t>
  </si>
  <si>
    <t>Số dư tại ngày 01/01/2014</t>
  </si>
  <si>
    <t>+ Trích quỹ KTPL, ĐTPT</t>
  </si>
  <si>
    <t>+ Tạm ứng cổ tức năm 2013</t>
  </si>
  <si>
    <t>18 -  Nguån kinh phÝ</t>
  </si>
  <si>
    <t>19 -  Tµi s¶n thuª ngoµi</t>
  </si>
  <si>
    <t>20 -  Tæng doanh thu b¸n hµng vµ cung cÊp dÞch vô</t>
  </si>
  <si>
    <t>21 -  C¸c kho¶n gi¶m trõ doanh thu</t>
  </si>
  <si>
    <t>22 -  Doanh thu thuÇn vÒ b¸n hµng vµ cung cÊp DV</t>
  </si>
  <si>
    <t>23 -  Gi¸ vèn hµng b¸n</t>
  </si>
  <si>
    <t>24 -  Doanh thu ho¹t ®éng tµi chÝnh</t>
  </si>
  <si>
    <t>25 -  Chi phÝ ho¹t ®éng tµi chÝnh</t>
  </si>
  <si>
    <t>26 -  Chi phÝ b¸n hµng</t>
  </si>
  <si>
    <t>+ L·i tiÒn göi</t>
  </si>
  <si>
    <t>27 - Chi phÝ qu¶n lý</t>
  </si>
  <si>
    <t>1. Phải trả dài hạn người bán</t>
  </si>
  <si>
    <t>N¨m 2014</t>
  </si>
  <si>
    <t xml:space="preserve">  </t>
  </si>
  <si>
    <t>1. Doanh thu bán hàng và CCDV</t>
  </si>
  <si>
    <t>2. Các khoản giảm trừ</t>
  </si>
  <si>
    <t>3. DT thuần về bán hàng và CCDV</t>
  </si>
  <si>
    <t>4. Giá vốn hàng bán</t>
  </si>
  <si>
    <t>5. Lợi nhuận gộp về bán hàng và CCDV</t>
  </si>
  <si>
    <t>6. Doanh thu hoạt động tài chính</t>
  </si>
  <si>
    <t>7. Chi phí hoạt động tài chính</t>
  </si>
  <si>
    <t>8. Chi phí bán hàng</t>
  </si>
  <si>
    <t>9. Chi phí quản lý doanh nghiệp</t>
  </si>
  <si>
    <t>10. Lợi nhuận từ hoạt động SXKD</t>
  </si>
  <si>
    <t>11. Thu nhập khác</t>
  </si>
  <si>
    <t>12. Chi phí khác</t>
  </si>
  <si>
    <t>13. Lợi nhuận khác</t>
  </si>
  <si>
    <t>14. Tổng lợi nhuận kế toán trước thuế</t>
  </si>
  <si>
    <t>15. Chi phí thuế TNDN hiện hành</t>
  </si>
  <si>
    <t>16. Chi phí thuế TNDN hoãn lại</t>
  </si>
  <si>
    <t>17. Lợi nhuận sau thuế TNDN</t>
  </si>
  <si>
    <t>18. Lãi cơ bản trên cổ phiếu</t>
  </si>
  <si>
    <t>19. Thu nhập trên mỗi cổ phiếu</t>
  </si>
  <si>
    <t>28 - Chi phÝ s¶n xuÊt KD theo yÕu tè</t>
  </si>
  <si>
    <t>28.1- Chi phÝ nguyªn liÖu, vËt liÖu</t>
  </si>
  <si>
    <t>28.2- Chi phÝ nh©n c«ng</t>
  </si>
  <si>
    <t>28.3- Chi phÝ khÊu hao tµi s¶n cè ®Þnh</t>
  </si>
  <si>
    <t>28.4- ThuÕ phÝ vµ lÖ phÝ</t>
  </si>
  <si>
    <t>28.5- Chi phÝ dÞch vô mua ngoµi</t>
  </si>
  <si>
    <t>28.6- Chi phÝ kh¸c</t>
  </si>
  <si>
    <t xml:space="preserve">+ ThuÕ GTGT ®­îc khÊu trõ </t>
  </si>
  <si>
    <t>nghiệp, tuốc bin nước, các sản phẩm cơ khí. Kinh doanh, xuất nhập khẩu vật tư, máy móc thiết bị,</t>
  </si>
  <si>
    <r>
      <rPr>
        <b/>
        <i/>
        <sz val="12"/>
        <color indexed="12"/>
        <rFont val="Times New Roman"/>
        <family val="1"/>
      </rPr>
      <t>1. Hình thức sở hữu vốn:</t>
    </r>
    <r>
      <rPr>
        <i/>
        <sz val="12"/>
        <color indexed="12"/>
        <rFont val="Times New Roman"/>
        <family val="1"/>
      </rPr>
      <t xml:space="preserve"> Vốn cổ phần</t>
    </r>
  </si>
  <si>
    <r>
      <rPr>
        <b/>
        <i/>
        <sz val="12"/>
        <color indexed="12"/>
        <rFont val="Times New Roman"/>
        <family val="1"/>
      </rPr>
      <t>2. Lĩnh vực kinh doanh:</t>
    </r>
    <r>
      <rPr>
        <i/>
        <sz val="12"/>
        <color indexed="12"/>
        <rFont val="Times New Roman"/>
        <family val="1"/>
      </rPr>
      <t xml:space="preserve"> Công nghiệp cơ khí chế tạo, gia công và lắp đặt</t>
    </r>
  </si>
  <si>
    <r>
      <rPr>
        <b/>
        <i/>
        <sz val="12"/>
        <color indexed="12"/>
        <rFont val="Times New Roman"/>
        <family val="1"/>
      </rPr>
      <t>3. Ngành nghề kinh doanh:</t>
    </r>
    <r>
      <rPr>
        <i/>
        <sz val="12"/>
        <color indexed="12"/>
        <rFont val="Times New Roman"/>
        <family val="1"/>
      </rPr>
      <t xml:space="preserve"> Sản xuất, kinh doanh, XNK các loại máy bơm, van nước, quạt công </t>
    </r>
  </si>
  <si>
    <t>phụ tùng phục vụ sản xuất kinh doanh của công ty; xây lắp, sửa chữa các công trình cấp thoát nước</t>
  </si>
  <si>
    <r>
      <t xml:space="preserve">2.1. Nguyên tắc ghi nhận hàng tồn kho: </t>
    </r>
    <r>
      <rPr>
        <i/>
        <sz val="12"/>
        <color indexed="12"/>
        <rFont val="Times New Roman"/>
        <family val="1"/>
      </rPr>
      <t xml:space="preserve">Theo nguyên tắc giá gốc, giá gốc hàng tồn kho được xác định  </t>
    </r>
  </si>
  <si>
    <r>
      <t xml:space="preserve">2.2. Phương pháp tính giá trị hàng tồn kho:  </t>
    </r>
    <r>
      <rPr>
        <i/>
        <sz val="12"/>
        <color indexed="12"/>
        <rFont val="Times New Roman"/>
        <family val="1"/>
      </rPr>
      <t>Bình quân gia quyền trong kỳ hạch toán</t>
    </r>
  </si>
  <si>
    <r>
      <t xml:space="preserve">2.3. Phương pháp hạch toán hàng tồn kho: </t>
    </r>
    <r>
      <rPr>
        <i/>
        <sz val="12"/>
        <color indexed="12"/>
        <rFont val="Times New Roman"/>
        <family val="1"/>
      </rPr>
      <t>Kê khai thường xuyên</t>
    </r>
  </si>
  <si>
    <r>
      <rPr>
        <sz val="12"/>
        <color indexed="12"/>
        <rFont val="Times New Roman"/>
        <family val="1"/>
      </rPr>
      <t>4.1. Nguyên tắc ghi nhận:</t>
    </r>
    <r>
      <rPr>
        <i/>
        <sz val="12"/>
        <color indexed="12"/>
        <rFont val="Times New Roman"/>
        <family val="1"/>
      </rPr>
      <t xml:space="preserve"> Các khoản phải thu của khách hàng, khoản trả trước cho người bán, phải thu  </t>
    </r>
  </si>
  <si>
    <t>+ Có thời gian thu hồi vốn trên 01 năm hoặc hơn 1 chu kỳ sản xuất được phân loại là tài sản dài hạn.</t>
  </si>
  <si>
    <r>
      <t xml:space="preserve">                     Tel: 0320 3844876, Fax: 03203858606, Email: info@vietpump.com.vn, Website: www.hpmc.com.vn                       </t>
    </r>
    <r>
      <rPr>
        <sz val="8"/>
        <rFont val=".VnTime"/>
        <family val="2"/>
      </rPr>
      <t xml:space="preserve">      </t>
    </r>
    <r>
      <rPr>
        <i/>
        <sz val="8"/>
        <rFont val=".vntime"/>
        <family val="2"/>
      </rPr>
      <t xml:space="preserve"> cña Bé tr­ëng BTC)</t>
    </r>
  </si>
  <si>
    <t xml:space="preserve">                 Tel: 0320 3844876, Fax: 03203858606, Email: info@vietpump.com.vn</t>
  </si>
  <si>
    <t>+ Sửa chữa mái nhà xưởng Đúc</t>
  </si>
  <si>
    <t xml:space="preserve">+ Nhµ kho X­ëng C¬ khÝ </t>
  </si>
  <si>
    <t>+ Phßng thö c©n b»ng ®éng</t>
  </si>
  <si>
    <t>+ B·i ®Ó xØ lß sau x­ëng §óc</t>
  </si>
  <si>
    <t>+ Lç chªnh lÖch tû gi¸</t>
  </si>
  <si>
    <t>Lũy kế</t>
  </si>
  <si>
    <t xml:space="preserve">  Trong đó: Chi phí lãi vay phải trả</t>
  </si>
  <si>
    <t>Cho kỳ hoạt động từ 01/04 đến 30/06</t>
  </si>
  <si>
    <t xml:space="preserve">              ng­êi lËp biÓu                            gi¸m ®èc tµi chÝnh                           tæng gi¸m ®èc c«ng ty</t>
  </si>
  <si>
    <t xml:space="preserve">            NguyÔn ThÞ Thu Thñy                                 Bïi ThÞ LÖ Thuû                                            NguyÔn Träng Nam       </t>
  </si>
  <si>
    <r>
      <t xml:space="preserve">                  </t>
    </r>
    <r>
      <rPr>
        <b/>
        <sz val="10"/>
        <rFont val=".VnArial Narrow"/>
        <family val="2"/>
      </rPr>
      <t xml:space="preserve">Tel: 0320 3844876, Fax: 03203858606, Email: info@vietpump.com.vn                                                    </t>
    </r>
    <r>
      <rPr>
        <b/>
        <sz val="10.5"/>
        <rFont val=".VnArial Narrow"/>
        <family val="2"/>
      </rPr>
      <t xml:space="preserve">    </t>
    </r>
    <r>
      <rPr>
        <b/>
        <sz val="9"/>
        <rFont val=".VnArial Narrow"/>
        <family val="2"/>
      </rPr>
      <t xml:space="preserve"> </t>
    </r>
    <r>
      <rPr>
        <i/>
        <sz val="9"/>
        <rFont val=".VnArial Narrow"/>
        <family val="2"/>
      </rPr>
      <t>ngµy 20/03/2006 cña Bé tr­ëng BTC)</t>
    </r>
  </si>
  <si>
    <r>
      <t xml:space="preserve">1. Chế độ kế toán áp dụng: </t>
    </r>
    <r>
      <rPr>
        <i/>
        <sz val="12"/>
        <color indexed="12"/>
        <rFont val="Times New Roman"/>
        <family val="1"/>
      </rPr>
      <t>Áp dụng chế độ kế toán Việt Nam ban hành theo quyết định số 15/2006/</t>
    </r>
  </si>
  <si>
    <t xml:space="preserve">QĐ- BTC ngày 20/03/2006, quyết định số 244/2009/QĐ-BTC ngày 31/12/2009, Luật kế toán 2003, các </t>
  </si>
  <si>
    <t>+ C¸c kho¶n cÇm cè, ký c­îc, ký quü NH</t>
  </si>
  <si>
    <t xml:space="preserve">                      Tel: 0320 3844876, Fax: 03203858606, Email: info@vietpump.com.vn</t>
  </si>
  <si>
    <t>MÉu CBTT-03</t>
  </si>
  <si>
    <t>B¸o c¸o tµi chÝnh tãm t¾t</t>
  </si>
  <si>
    <t>I.A. B¶ng c©n ®èi kÕ to¸n</t>
  </si>
  <si>
    <t>STT</t>
  </si>
  <si>
    <t>Néi dung</t>
  </si>
  <si>
    <t xml:space="preserve">Số dư đầu kỳ </t>
  </si>
  <si>
    <t xml:space="preserve">Số dư cuối kỳ 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</si>
  <si>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</si>
  <si>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</si>
  <si>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</si>
  <si>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</si>
  <si>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</si>
  <si>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</si>
  <si>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</si>
  <si>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</si>
  <si>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</si>
  <si>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</si>
  <si>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</si>
  <si>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</si>
  <si>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</si>
  <si>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</si>
  <si>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</si>
  <si>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</si>
  <si>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</si>
  <si>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</si>
  <si>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</si>
  <si>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</si>
  <si>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</si>
  <si>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</si>
  <si>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</si>
  <si>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</si>
  <si>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</si>
  <si>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</si>
  <si>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Vèn ®Çu t­ cña chñ së h÷u</t>
  </si>
  <si>
    <t>- ThÆng d­ vèn cæ phÇn</t>
  </si>
  <si>
    <t>- Chªnh lÖch tû gi¸ hèi ®o¸i</t>
  </si>
  <si>
    <t>- Vèn kh¸c cña chñ së h÷u</t>
  </si>
  <si>
    <t>- Cæ phiÕu quü</t>
  </si>
  <si>
    <t>- Chªnh lÖch ®¸nh gi¸ l¹i tµi s¶n</t>
  </si>
  <si>
    <t>- C¸c quü</t>
  </si>
  <si>
    <t>- Lîi nhuËn sau thuÕ ch­a ph©n phèi</t>
  </si>
  <si>
    <t>- Nguån vèn ®Çu t­ XDCB</t>
  </si>
  <si>
    <t>Nguån kinh phÝ vµ quü kh¸c</t>
  </si>
  <si>
    <t>- Nguån kinh phÝ</t>
  </si>
  <si>
    <t>- Nguån kinh phÝ ®· h×nh thµnh TSC§</t>
  </si>
  <si>
    <t>VI</t>
  </si>
  <si>
    <t>Tæng céng nguån vèn</t>
  </si>
  <si>
    <t>II.A.</t>
  </si>
  <si>
    <t>KÕt qu¶ ho¹t ®éng kinh doanh</t>
  </si>
  <si>
    <t>Lòy kÕ 2014</t>
  </si>
  <si>
    <t>Doanh thu b¸n hµng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</si>
  <si>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</si>
  <si>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</si>
  <si>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</si>
  <si>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</si>
  <si>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</si>
  <si>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</si>
  <si>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</si>
  <si>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</si>
  <si>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</si>
  <si>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</si>
  <si>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</si>
  <si>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</si>
  <si>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</si>
  <si>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</si>
  <si>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</si>
  <si>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</si>
  <si>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 kÕ ho¹ch</t>
  </si>
  <si>
    <t>§¹i diÖn ph¸p luËt cña c«ng ty</t>
  </si>
  <si>
    <t>QuÝ III n¨m 2014</t>
  </si>
  <si>
    <t xml:space="preserve">+ Máy doa ngang 2K636 Liên Xô  </t>
  </si>
  <si>
    <t>+ Máy tiện đứng CNC VL-125C</t>
  </si>
  <si>
    <t>+ Nhà làm sạch vật đúc</t>
  </si>
  <si>
    <t xml:space="preserve">+ Buồng phun sơn xưởng CKLR  </t>
  </si>
  <si>
    <t xml:space="preserve">+ Xe ôtô 7 chỗ Toyota Land Cruiser Prado     </t>
  </si>
  <si>
    <t>+ Vay ng¾n h¹n NH CTBC CN Hå ChÝ Minh</t>
  </si>
  <si>
    <t>+ L·i vay NH CTBC CN HCM</t>
  </si>
  <si>
    <t xml:space="preserve">+ TiÒn thuª v¨n phßng Cty t¹i Hµ Néi tõ T6-T9/2014 </t>
  </si>
  <si>
    <t>T¹i ngµy 30 th¸ng 09 n¨m 2014</t>
  </si>
  <si>
    <t>+ Ph¶i thu néi bé kh¸c (tiÒn BH)</t>
  </si>
  <si>
    <t>+ TiÒn l­¬ng BHXH tr¶</t>
  </si>
  <si>
    <t>+ L·i cho vay vèn</t>
  </si>
  <si>
    <t>Số dư tại ngày 30/09/2014</t>
  </si>
  <si>
    <t>Cho kú BC tõ 01/07 ®Õn 30/09</t>
  </si>
  <si>
    <t>Cho kỳ hoạt động từ 01/07 đến 30/09</t>
  </si>
  <si>
    <t xml:space="preserve">   H¶i D­¬ng, ngµy  14 th¸ng  10 n¨m 2014</t>
  </si>
  <si>
    <t xml:space="preserve">                                    H¶i D­¬ng, ngµy  14 th¸ng 10 n¨m 2014</t>
  </si>
  <si>
    <t xml:space="preserve">                 C«ng ty CP ChÕ T¹o B¬m h¶I D­¬ng</t>
  </si>
  <si>
    <t xml:space="preserve">     H¶i D­¬ng, ngµy  14 th¸ng  10 n¨m 2014</t>
  </si>
  <si>
    <r>
      <t xml:space="preserve">6. Cæ tøc, lîi nhuËn </t>
    </r>
    <r>
      <rPr>
        <sz val="11"/>
        <rFont val="Times New Roman"/>
        <family val="1"/>
      </rPr>
      <t>đã</t>
    </r>
    <r>
      <rPr>
        <sz val="11"/>
        <rFont val=".VnArial Narrow"/>
        <family val="2"/>
      </rPr>
      <t xml:space="preserve"> tr¶ cho chñ së h÷u</t>
    </r>
  </si>
  <si>
    <r>
      <t xml:space="preserve">    cña doanh nghiÖp </t>
    </r>
    <r>
      <rPr>
        <sz val="11"/>
        <rFont val="Times New Roman"/>
        <family val="1"/>
      </rPr>
      <t>đã</t>
    </r>
    <r>
      <rPr>
        <sz val="11"/>
        <rFont val=".VnArial Narrow"/>
        <family val="2"/>
      </rPr>
      <t xml:space="preserve"> ph¸t hµnh</t>
    </r>
  </si>
  <si>
    <r>
      <t xml:space="preserve">7. TiÒn thu </t>
    </r>
    <r>
      <rPr>
        <sz val="11"/>
        <rFont val="Times New Roman"/>
        <family val="1"/>
      </rPr>
      <t>lãi</t>
    </r>
    <r>
      <rPr>
        <sz val="11"/>
        <rFont val=".VnArial Narrow"/>
        <family val="2"/>
      </rPr>
      <t xml:space="preserve"> vay, cæ tøc vµ lîi nhuËn ®­îc chia</t>
    </r>
  </si>
  <si>
    <r>
      <t xml:space="preserve">4.TiÒn chi tr¶ </t>
    </r>
    <r>
      <rPr>
        <sz val="11"/>
        <rFont val="Times New Roman"/>
        <family val="1"/>
      </rPr>
      <t>lãi</t>
    </r>
    <r>
      <rPr>
        <sz val="11"/>
        <rFont val=".VnArial Narrow"/>
        <family val="2"/>
      </rPr>
      <t xml:space="preserve"> vay</t>
    </r>
  </si>
  <si>
    <t xml:space="preserve">Chênh lệch tỷ giá thực tế phát sinh được kết chuyển vào doanh thu tài chính hoặc chi phí tài chính trong </t>
  </si>
  <si>
    <t>năm tài chính.</t>
  </si>
  <si>
    <r>
      <t xml:space="preserve">3.1. Nguyên tắc ghi nhận TSCĐ hữu hình, TSCĐ vô hình: </t>
    </r>
    <r>
      <rPr>
        <i/>
        <sz val="12"/>
        <color indexed="12"/>
        <rFont val="Times New Roman"/>
        <family val="1"/>
      </rPr>
      <t xml:space="preserve">Nguyên tắc giá gốc. Trong quá trình sử dụng tài  </t>
    </r>
  </si>
  <si>
    <t>+ §¹i lý C«ng ty CP ThiÕt bÞ &amp; L¾p ®Æt b¬m H¶i D­¬ng</t>
  </si>
  <si>
    <t xml:space="preserve">     H¶i D­¬ng, ngµy 14 th¸ng 10 n¨m 2014</t>
  </si>
  <si>
    <t>QuÝ III/2014</t>
  </si>
  <si>
    <t>H¶i D­¬ng, ngµy 14 th¸ng 10 n¨m 2014</t>
  </si>
  <si>
    <t xml:space="preserve">  §iÖn tho¹i: 0320 3844 876/ 3853 496;  Fax: 0320 3585 606;  Email: info@vietpump.com</t>
  </si>
  <si>
    <t xml:space="preserve">  Sè 37 §¹i lé Hå ChÝ Minh - TP H¶i D­¬ng</t>
  </si>
  <si>
    <t xml:space="preserve">  C«ng ty CP ChÕ T¹o B¬m H¶i D­¬ng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</si>
</sst>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#\ ###\ ###\ ###"/>
    <numFmt numFmtId="166" formatCode="#,##0.0"/>
    <numFmt numFmtId="167" formatCode="00000"/>
  </numFmts>
  <fonts count="154">
    <font>
      <sz val="10"/>
      <name val="VnBravo Times"/>
      <family val="0"/>
    </font>
    <font>
      <sz val="10"/>
      <color indexed="8"/>
      <name val="VnBravo Times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i/>
      <sz val="10"/>
      <color indexed="12"/>
      <name val=".vntime"/>
      <family val="2"/>
    </font>
    <font>
      <b/>
      <sz val="16"/>
      <color indexed="12"/>
      <name val=".VnTimeH"/>
      <family val="2"/>
    </font>
    <font>
      <b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12"/>
      <color indexed="12"/>
      <name val=".VnTime"/>
      <family val="2"/>
    </font>
    <font>
      <i/>
      <sz val="8"/>
      <color indexed="12"/>
      <name val=".VnTime"/>
      <family val="2"/>
    </font>
    <font>
      <b/>
      <i/>
      <sz val="12"/>
      <color indexed="12"/>
      <name val=".VnTime"/>
      <family val="2"/>
    </font>
    <font>
      <b/>
      <sz val="11"/>
      <color indexed="12"/>
      <name val=".VnArialH"/>
      <family val="2"/>
    </font>
    <font>
      <sz val="11"/>
      <color indexed="12"/>
      <name val=".VnArialH"/>
      <family val="2"/>
    </font>
    <font>
      <i/>
      <sz val="11"/>
      <color indexed="12"/>
      <name val=".VnTime"/>
      <family val="2"/>
    </font>
    <font>
      <sz val="8"/>
      <name val="VnBravo Times"/>
      <family val="1"/>
    </font>
    <font>
      <b/>
      <sz val="12"/>
      <color indexed="12"/>
      <name val=".VnArialH"/>
      <family val="2"/>
    </font>
    <font>
      <b/>
      <sz val="14"/>
      <color indexed="12"/>
      <name val=".VnArialH"/>
      <family val="2"/>
    </font>
    <font>
      <b/>
      <u val="single"/>
      <sz val="10"/>
      <color indexed="12"/>
      <name val=".VnTimeH"/>
      <family val="2"/>
    </font>
    <font>
      <b/>
      <u val="single"/>
      <sz val="12"/>
      <color indexed="12"/>
      <name val=".vntime"/>
      <family val="2"/>
    </font>
    <font>
      <b/>
      <sz val="10"/>
      <color indexed="12"/>
      <name val=".VnTime"/>
      <family val="2"/>
    </font>
    <font>
      <sz val="12"/>
      <color indexed="12"/>
      <name val=".VnArialH"/>
      <family val="2"/>
    </font>
    <font>
      <b/>
      <sz val="10"/>
      <name val=".VnArial"/>
      <family val="2"/>
    </font>
    <font>
      <b/>
      <sz val="12"/>
      <name val=".VnTimeH"/>
      <family val="2"/>
    </font>
    <font>
      <i/>
      <sz val="9"/>
      <name val=".VnTime"/>
      <family val="2"/>
    </font>
    <font>
      <b/>
      <sz val="12"/>
      <name val=".VnTime"/>
      <family val="2"/>
    </font>
    <font>
      <b/>
      <sz val="12"/>
      <name val=".VnArial Narrow"/>
      <family val="2"/>
    </font>
    <font>
      <sz val="12"/>
      <name val=".VnArial Narrow"/>
      <family val="2"/>
    </font>
    <font>
      <b/>
      <u val="single"/>
      <sz val="12"/>
      <color indexed="12"/>
      <name val=".VnArial"/>
      <family val="2"/>
    </font>
    <font>
      <b/>
      <sz val="11"/>
      <color indexed="12"/>
      <name val=".VnTimeH"/>
      <family val="2"/>
    </font>
    <font>
      <b/>
      <sz val="11"/>
      <color indexed="12"/>
      <name val=".VnBook-AntiquaH"/>
      <family val="2"/>
    </font>
    <font>
      <u val="single"/>
      <sz val="12"/>
      <color indexed="12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"/>
      <family val="2"/>
    </font>
    <font>
      <b/>
      <sz val="8"/>
      <name val=".vntime"/>
      <family val="2"/>
    </font>
    <font>
      <b/>
      <sz val="10"/>
      <name val=".VnTime"/>
      <family val="2"/>
    </font>
    <font>
      <i/>
      <sz val="12"/>
      <color indexed="12"/>
      <name val="Times New Roman"/>
      <family val="1"/>
    </font>
    <font>
      <b/>
      <u val="single"/>
      <sz val="11.5"/>
      <color indexed="12"/>
      <name val=".vntime"/>
      <family val="2"/>
    </font>
    <font>
      <sz val="11.5"/>
      <color indexed="12"/>
      <name val=".VnTime"/>
      <family val="2"/>
    </font>
    <font>
      <b/>
      <sz val="11.5"/>
      <color indexed="12"/>
      <name val=".vntime"/>
      <family val="2"/>
    </font>
    <font>
      <b/>
      <i/>
      <sz val="11.5"/>
      <color indexed="12"/>
      <name val=".VnTime"/>
      <family val="2"/>
    </font>
    <font>
      <i/>
      <sz val="11.5"/>
      <color indexed="12"/>
      <name val=".VnTime"/>
      <family val="2"/>
    </font>
    <font>
      <b/>
      <i/>
      <u val="single"/>
      <sz val="11.5"/>
      <color indexed="12"/>
      <name val=".vntime"/>
      <family val="2"/>
    </font>
    <font>
      <b/>
      <u val="single"/>
      <sz val="11"/>
      <color indexed="12"/>
      <name val=".VnTimeH"/>
      <family val="2"/>
    </font>
    <font>
      <b/>
      <u val="single"/>
      <sz val="10.5"/>
      <color indexed="12"/>
      <name val=".VnTimeH"/>
      <family val="2"/>
    </font>
    <font>
      <b/>
      <u val="single"/>
      <sz val="11"/>
      <color indexed="12"/>
      <name val=".vntime"/>
      <family val="2"/>
    </font>
    <font>
      <b/>
      <i/>
      <sz val="11"/>
      <color indexed="12"/>
      <name val=".VnTime"/>
      <family val="2"/>
    </font>
    <font>
      <b/>
      <i/>
      <u val="single"/>
      <sz val="11"/>
      <color indexed="12"/>
      <name val=".vntime"/>
      <family val="2"/>
    </font>
    <font>
      <b/>
      <sz val="10.5"/>
      <name val=".VnArial Narrow"/>
      <family val="2"/>
    </font>
    <font>
      <sz val="12"/>
      <color indexed="10"/>
      <name val=".VnTime"/>
      <family val="2"/>
    </font>
    <font>
      <sz val="14"/>
      <color indexed="12"/>
      <name val=".VnTime"/>
      <family val="2"/>
    </font>
    <font>
      <i/>
      <sz val="14"/>
      <color indexed="12"/>
      <name val=".VnTime"/>
      <family val="2"/>
    </font>
    <font>
      <b/>
      <sz val="13"/>
      <color indexed="12"/>
      <name val=".VnArial Narrow"/>
      <family val="2"/>
    </font>
    <font>
      <b/>
      <sz val="13"/>
      <color indexed="12"/>
      <name val=".VnTime"/>
      <family val="2"/>
    </font>
    <font>
      <sz val="10"/>
      <name val=".VnTime"/>
      <family val="2"/>
    </font>
    <font>
      <i/>
      <sz val="11"/>
      <name val=".VnArial"/>
      <family val="2"/>
    </font>
    <font>
      <sz val="11"/>
      <name val=".VnArial NarrowH"/>
      <family val="2"/>
    </font>
    <font>
      <sz val="11"/>
      <name val=".VnArial Narrow"/>
      <family val="2"/>
    </font>
    <font>
      <b/>
      <i/>
      <sz val="11"/>
      <color indexed="10"/>
      <name val=".VnArial Narrow"/>
      <family val="2"/>
    </font>
    <font>
      <b/>
      <sz val="11"/>
      <color indexed="10"/>
      <name val=".VnArial Narrow"/>
      <family val="2"/>
    </font>
    <font>
      <b/>
      <sz val="11"/>
      <color indexed="12"/>
      <name val=".VnArial Narrow"/>
      <family val="2"/>
    </font>
    <font>
      <b/>
      <sz val="10"/>
      <name val=".VnArial Narrow"/>
      <family val="2"/>
    </font>
    <font>
      <b/>
      <sz val="10.5"/>
      <color indexed="10"/>
      <name val=".VnArial"/>
      <family val="2"/>
    </font>
    <font>
      <b/>
      <sz val="15"/>
      <name val=".VnTimeH"/>
      <family val="2"/>
    </font>
    <font>
      <b/>
      <sz val="15"/>
      <name val=".VnTime"/>
      <family val="2"/>
    </font>
    <font>
      <b/>
      <sz val="9"/>
      <name val=".VnArial Narrow"/>
      <family val="2"/>
    </font>
    <font>
      <i/>
      <sz val="9"/>
      <name val=".VnArial Narrow"/>
      <family val="2"/>
    </font>
    <font>
      <b/>
      <sz val="12"/>
      <color indexed="12"/>
      <name val=".VnTimeH"/>
      <family val="2"/>
    </font>
    <font>
      <sz val="10"/>
      <name val=".VnArial"/>
      <family val="2"/>
    </font>
    <font>
      <b/>
      <sz val="10"/>
      <color indexed="10"/>
      <name val=".VnArial"/>
      <family val="2"/>
    </font>
    <font>
      <sz val="9.5"/>
      <name val=".VnArial"/>
      <family val="2"/>
    </font>
    <font>
      <b/>
      <sz val="9.5"/>
      <color indexed="10"/>
      <name val=".VnArial"/>
      <family val="2"/>
    </font>
    <font>
      <b/>
      <sz val="9.5"/>
      <name val=".VnArial"/>
      <family val="2"/>
    </font>
    <font>
      <b/>
      <sz val="9.5"/>
      <color indexed="12"/>
      <name val=".VnArial"/>
      <family val="2"/>
    </font>
    <font>
      <b/>
      <sz val="10"/>
      <name val="VnBravo Times"/>
      <family val="1"/>
    </font>
    <font>
      <b/>
      <sz val="12"/>
      <color indexed="10"/>
      <name val=".VnTime"/>
      <family val="2"/>
    </font>
    <font>
      <b/>
      <sz val="9"/>
      <name val=".VnArial"/>
      <family val="2"/>
    </font>
    <font>
      <b/>
      <i/>
      <sz val="10"/>
      <name val=".VnArial"/>
      <family val="2"/>
    </font>
    <font>
      <b/>
      <sz val="11"/>
      <name val=".VnTimeH"/>
      <family val="2"/>
    </font>
    <font>
      <i/>
      <sz val="8"/>
      <name val=".VnArial"/>
      <family val="2"/>
    </font>
    <font>
      <sz val="10"/>
      <color indexed="12"/>
      <name val=".VnTime"/>
      <family val="2"/>
    </font>
    <font>
      <sz val="8"/>
      <name val=".VnTime"/>
      <family val="2"/>
    </font>
    <font>
      <i/>
      <sz val="8"/>
      <name val=".vntime"/>
      <family val="2"/>
    </font>
    <font>
      <i/>
      <sz val="10"/>
      <name val=".VnTime"/>
      <family val="2"/>
    </font>
    <font>
      <b/>
      <sz val="10"/>
      <color indexed="12"/>
      <name val=".VnTimeH"/>
      <family val="2"/>
    </font>
    <font>
      <b/>
      <sz val="12"/>
      <name val=".VnBook-Antiqua"/>
      <family val="2"/>
    </font>
    <font>
      <b/>
      <sz val="8"/>
      <name val=".VnBook-Antiqua"/>
      <family val="2"/>
    </font>
    <font>
      <b/>
      <sz val="10.5"/>
      <name val=".VnBook-Antiqua"/>
      <family val="2"/>
    </font>
    <font>
      <sz val="10"/>
      <name val=".VnBook-Antiqua"/>
      <family val="2"/>
    </font>
    <font>
      <b/>
      <sz val="9"/>
      <name val=".VnTime"/>
      <family val="2"/>
    </font>
    <font>
      <b/>
      <u val="single"/>
      <sz val="10"/>
      <name val=".Vn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u val="single"/>
      <sz val="10"/>
      <color indexed="12"/>
      <name val=".VnArial"/>
      <family val="2"/>
    </font>
    <font>
      <b/>
      <sz val="8"/>
      <color indexed="12"/>
      <name val=".VnTime"/>
      <family val="2"/>
    </font>
    <font>
      <b/>
      <sz val="10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color indexed="10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.VnArial Narrow"/>
      <family val="2"/>
    </font>
    <font>
      <i/>
      <sz val="12"/>
      <color indexed="12"/>
      <name val=".VnArial Narrow"/>
      <family val="2"/>
    </font>
    <font>
      <b/>
      <sz val="16"/>
      <color indexed="12"/>
      <name val=".VnArialH"/>
      <family val="2"/>
    </font>
    <font>
      <b/>
      <sz val="10"/>
      <color indexed="12"/>
      <name val=".VnArialH"/>
      <family val="2"/>
    </font>
    <font>
      <b/>
      <u val="single"/>
      <sz val="12"/>
      <color indexed="12"/>
      <name val=".VnArial NarrowH"/>
      <family val="2"/>
    </font>
    <font>
      <sz val="12"/>
      <color indexed="40"/>
      <name val=".VnTime"/>
      <family val="2"/>
    </font>
    <font>
      <sz val="9.5"/>
      <name val="Times New Roman"/>
      <family val="1"/>
    </font>
    <font>
      <sz val="11"/>
      <name val="Times New Roman"/>
      <family val="1"/>
    </font>
    <font>
      <b/>
      <u val="single"/>
      <sz val="12"/>
      <color indexed="12"/>
      <name val="VnTime"/>
      <family val="0"/>
    </font>
    <font>
      <sz val="10.5"/>
      <color indexed="12"/>
      <name val=".VnTime"/>
      <family val="2"/>
    </font>
    <font>
      <sz val="10"/>
      <color indexed="9"/>
      <name val="VnBravo Times"/>
      <family val="2"/>
    </font>
    <font>
      <sz val="10"/>
      <color indexed="20"/>
      <name val="VnBravo Times"/>
      <family val="2"/>
    </font>
    <font>
      <b/>
      <sz val="10"/>
      <color indexed="52"/>
      <name val="VnBravo Times"/>
      <family val="2"/>
    </font>
    <font>
      <b/>
      <sz val="10"/>
      <color indexed="9"/>
      <name val="VnBravo Times"/>
      <family val="2"/>
    </font>
    <font>
      <i/>
      <sz val="10"/>
      <color indexed="23"/>
      <name val="VnBravo Times"/>
      <family val="2"/>
    </font>
    <font>
      <u val="single"/>
      <sz val="8.2"/>
      <color indexed="20"/>
      <name val="VnBravo Times"/>
      <family val="0"/>
    </font>
    <font>
      <sz val="10"/>
      <color indexed="17"/>
      <name val="VnBravo Times"/>
      <family val="2"/>
    </font>
    <font>
      <b/>
      <sz val="15"/>
      <color indexed="56"/>
      <name val="VnBravo Times"/>
      <family val="2"/>
    </font>
    <font>
      <b/>
      <sz val="13"/>
      <color indexed="56"/>
      <name val="VnBravo Times"/>
      <family val="2"/>
    </font>
    <font>
      <b/>
      <sz val="11"/>
      <color indexed="56"/>
      <name val="VnBravo Times"/>
      <family val="2"/>
    </font>
    <font>
      <u val="single"/>
      <sz val="8.2"/>
      <color indexed="12"/>
      <name val="VnBravo Times"/>
      <family val="0"/>
    </font>
    <font>
      <sz val="10"/>
      <color indexed="62"/>
      <name val="VnBravo Times"/>
      <family val="2"/>
    </font>
    <font>
      <sz val="10"/>
      <color indexed="52"/>
      <name val="VnBravo Times"/>
      <family val="2"/>
    </font>
    <font>
      <sz val="10"/>
      <color indexed="60"/>
      <name val="VnBravo Times"/>
      <family val="2"/>
    </font>
    <font>
      <b/>
      <sz val="10"/>
      <color indexed="63"/>
      <name val="VnBravo Times"/>
      <family val="2"/>
    </font>
    <font>
      <b/>
      <sz val="18"/>
      <color indexed="56"/>
      <name val="Cambria"/>
      <family val="2"/>
    </font>
    <font>
      <b/>
      <sz val="10"/>
      <color indexed="8"/>
      <name val="VnBravo Times"/>
      <family val="2"/>
    </font>
    <font>
      <sz val="10"/>
      <color indexed="10"/>
      <name val="VnBravo Times"/>
      <family val="2"/>
    </font>
    <font>
      <sz val="10"/>
      <color theme="1"/>
      <name val="VnBravo Times"/>
      <family val="2"/>
    </font>
    <font>
      <sz val="10"/>
      <color theme="0"/>
      <name val="VnBravo Times"/>
      <family val="2"/>
    </font>
    <font>
      <sz val="10"/>
      <color rgb="FF9C0006"/>
      <name val="VnBravo Times"/>
      <family val="2"/>
    </font>
    <font>
      <b/>
      <sz val="10"/>
      <color rgb="FFFA7D00"/>
      <name val="VnBravo Times"/>
      <family val="2"/>
    </font>
    <font>
      <b/>
      <sz val="10"/>
      <color theme="0"/>
      <name val="VnBravo Times"/>
      <family val="2"/>
    </font>
    <font>
      <i/>
      <sz val="10"/>
      <color rgb="FF7F7F7F"/>
      <name val="VnBravo Times"/>
      <family val="2"/>
    </font>
    <font>
      <u val="single"/>
      <sz val="8.2"/>
      <color theme="11"/>
      <name val="VnBravo Times"/>
      <family val="0"/>
    </font>
    <font>
      <sz val="10"/>
      <color rgb="FF006100"/>
      <name val="VnBravo Times"/>
      <family val="2"/>
    </font>
    <font>
      <b/>
      <sz val="15"/>
      <color theme="3"/>
      <name val="VnBravo Times"/>
      <family val="2"/>
    </font>
    <font>
      <b/>
      <sz val="13"/>
      <color theme="3"/>
      <name val="VnBravo Times"/>
      <family val="2"/>
    </font>
    <font>
      <b/>
      <sz val="11"/>
      <color theme="3"/>
      <name val="VnBravo Times"/>
      <family val="2"/>
    </font>
    <font>
      <u val="single"/>
      <sz val="8.2"/>
      <color theme="10"/>
      <name val="VnBravo Times"/>
      <family val="0"/>
    </font>
    <font>
      <sz val="10"/>
      <color rgb="FF3F3F76"/>
      <name val="VnBravo Times"/>
      <family val="2"/>
    </font>
    <font>
      <sz val="10"/>
      <color rgb="FFFA7D00"/>
      <name val="VnBravo Times"/>
      <family val="2"/>
    </font>
    <font>
      <sz val="10"/>
      <color rgb="FF9C6500"/>
      <name val="VnBravo Times"/>
      <family val="2"/>
    </font>
    <font>
      <b/>
      <sz val="10"/>
      <color rgb="FF3F3F3F"/>
      <name val="VnBravo Times"/>
      <family val="2"/>
    </font>
    <font>
      <b/>
      <sz val="18"/>
      <color theme="3"/>
      <name val="Cambria"/>
      <family val="2"/>
    </font>
    <font>
      <b/>
      <sz val="10"/>
      <color theme="1"/>
      <name val="VnBravo Times"/>
      <family val="2"/>
    </font>
    <font>
      <sz val="10"/>
      <color rgb="FFFF0000"/>
      <name val="VnBravo Time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hair"/>
      <right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5" fillId="2" borderId="0" applyNumberFormat="0" applyBorder="0" applyAlignment="0" applyProtection="0"/>
    <xf numFmtId="0" fontId="135" fillId="3" borderId="0" applyNumberFormat="0" applyBorder="0" applyAlignment="0" applyProtection="0"/>
    <xf numFmtId="0" fontId="135" fillId="4" borderId="0" applyNumberFormat="0" applyBorder="0" applyAlignment="0" applyProtection="0"/>
    <xf numFmtId="0" fontId="135" fillId="5" borderId="0" applyNumberFormat="0" applyBorder="0" applyAlignment="0" applyProtection="0"/>
    <xf numFmtId="0" fontId="135" fillId="6" borderId="0" applyNumberFormat="0" applyBorder="0" applyAlignment="0" applyProtection="0"/>
    <xf numFmtId="0" fontId="135" fillId="7" borderId="0" applyNumberFormat="0" applyBorder="0" applyAlignment="0" applyProtection="0"/>
    <xf numFmtId="0" fontId="135" fillId="8" borderId="0" applyNumberFormat="0" applyBorder="0" applyAlignment="0" applyProtection="0"/>
    <xf numFmtId="0" fontId="135" fillId="9" borderId="0" applyNumberFormat="0" applyBorder="0" applyAlignment="0" applyProtection="0"/>
    <xf numFmtId="0" fontId="135" fillId="10" borderId="0" applyNumberFormat="0" applyBorder="0" applyAlignment="0" applyProtection="0"/>
    <xf numFmtId="0" fontId="135" fillId="11" borderId="0" applyNumberFormat="0" applyBorder="0" applyAlignment="0" applyProtection="0"/>
    <xf numFmtId="0" fontId="135" fillId="12" borderId="0" applyNumberFormat="0" applyBorder="0" applyAlignment="0" applyProtection="0"/>
    <xf numFmtId="0" fontId="135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1" applyNumberFormat="0" applyAlignment="0" applyProtection="0"/>
    <xf numFmtId="0" fontId="1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28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29" borderId="1" applyNumberFormat="0" applyAlignment="0" applyProtection="0"/>
    <xf numFmtId="0" fontId="148" fillId="0" borderId="6" applyNumberFormat="0" applyFill="0" applyAlignment="0" applyProtection="0"/>
    <xf numFmtId="0" fontId="149" fillId="30" borderId="0" applyNumberFormat="0" applyBorder="0" applyAlignment="0" applyProtection="0"/>
    <xf numFmtId="0" fontId="0" fillId="31" borderId="7" applyNumberFormat="0" applyFont="0" applyAlignment="0" applyProtection="0"/>
    <xf numFmtId="0" fontId="150" fillId="26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2" fillId="0" borderId="16" xfId="0" applyNumberFormat="1" applyFont="1" applyBorder="1" applyAlignment="1" quotePrefix="1">
      <alignment/>
    </xf>
    <xf numFmtId="3" fontId="2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 quotePrefix="1">
      <alignment/>
    </xf>
    <xf numFmtId="3" fontId="2" fillId="0" borderId="21" xfId="0" applyNumberFormat="1" applyFont="1" applyBorder="1" applyAlignment="1">
      <alignment/>
    </xf>
    <xf numFmtId="3" fontId="2" fillId="0" borderId="11" xfId="0" applyNumberFormat="1" applyFont="1" applyBorder="1" applyAlignment="1" quotePrefix="1">
      <alignment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3" fontId="2" fillId="0" borderId="10" xfId="0" applyNumberFormat="1" applyFont="1" applyBorder="1" applyAlignment="1" quotePrefix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 quotePrefix="1">
      <alignment/>
    </xf>
    <xf numFmtId="3" fontId="2" fillId="0" borderId="26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12" xfId="0" applyNumberFormat="1" applyFont="1" applyBorder="1" applyAlignment="1" quotePrefix="1">
      <alignment/>
    </xf>
    <xf numFmtId="3" fontId="2" fillId="0" borderId="2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3" fillId="0" borderId="28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8" fillId="0" borderId="16" xfId="0" applyNumberFormat="1" applyFont="1" applyBorder="1" applyAlignment="1" quotePrefix="1">
      <alignment/>
    </xf>
    <xf numFmtId="3" fontId="10" fillId="0" borderId="16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 quotePrefix="1">
      <alignment/>
    </xf>
    <xf numFmtId="3" fontId="3" fillId="0" borderId="17" xfId="0" applyNumberFormat="1" applyFont="1" applyBorder="1" applyAlignment="1" quotePrefix="1">
      <alignment/>
    </xf>
    <xf numFmtId="3" fontId="3" fillId="0" borderId="0" xfId="0" applyNumberFormat="1" applyFont="1" applyBorder="1" applyAlignment="1" quotePrefix="1">
      <alignment/>
    </xf>
    <xf numFmtId="3" fontId="3" fillId="0" borderId="13" xfId="0" applyNumberFormat="1" applyFont="1" applyBorder="1" applyAlignment="1" quotePrefix="1">
      <alignment/>
    </xf>
    <xf numFmtId="3" fontId="3" fillId="0" borderId="14" xfId="0" applyNumberFormat="1" applyFont="1" applyBorder="1" applyAlignment="1" quotePrefix="1">
      <alignment horizontal="center"/>
    </xf>
    <xf numFmtId="3" fontId="10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 horizontal="center"/>
    </xf>
    <xf numFmtId="3" fontId="8" fillId="0" borderId="11" xfId="0" applyNumberFormat="1" applyFont="1" applyBorder="1" applyAlignment="1" quotePrefix="1">
      <alignment/>
    </xf>
    <xf numFmtId="3" fontId="8" fillId="0" borderId="12" xfId="0" applyNumberFormat="1" applyFont="1" applyBorder="1" applyAlignment="1" quotePrefix="1">
      <alignment/>
    </xf>
    <xf numFmtId="37" fontId="2" fillId="0" borderId="16" xfId="0" applyNumberFormat="1" applyFont="1" applyBorder="1" applyAlignment="1">
      <alignment/>
    </xf>
    <xf numFmtId="3" fontId="2" fillId="0" borderId="35" xfId="0" applyNumberFormat="1" applyFont="1" applyBorder="1" applyAlignment="1" quotePrefix="1">
      <alignment/>
    </xf>
    <xf numFmtId="3" fontId="2" fillId="0" borderId="17" xfId="0" applyNumberFormat="1" applyFont="1" applyBorder="1" applyAlignment="1" quotePrefix="1">
      <alignment/>
    </xf>
    <xf numFmtId="3" fontId="3" fillId="0" borderId="29" xfId="0" applyNumberFormat="1" applyFont="1" applyBorder="1" applyAlignment="1">
      <alignment/>
    </xf>
    <xf numFmtId="3" fontId="2" fillId="0" borderId="31" xfId="0" applyNumberFormat="1" applyFont="1" applyBorder="1" applyAlignment="1" quotePrefix="1">
      <alignment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31" fillId="0" borderId="14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 quotePrefix="1">
      <alignment/>
    </xf>
    <xf numFmtId="3" fontId="2" fillId="0" borderId="37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2" fillId="0" borderId="14" xfId="0" applyNumberFormat="1" applyFont="1" applyBorder="1" applyAlignment="1" quotePrefix="1">
      <alignment/>
    </xf>
    <xf numFmtId="3" fontId="23" fillId="0" borderId="0" xfId="0" applyNumberFormat="1" applyFont="1" applyAlignment="1">
      <alignment/>
    </xf>
    <xf numFmtId="3" fontId="23" fillId="0" borderId="18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25" xfId="0" applyNumberFormat="1" applyFont="1" applyBorder="1" applyAlignment="1" quotePrefix="1">
      <alignment/>
    </xf>
    <xf numFmtId="3" fontId="26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6" fillId="0" borderId="10" xfId="0" applyNumberFormat="1" applyFont="1" applyBorder="1" applyAlignment="1">
      <alignment horizontal="right"/>
    </xf>
    <xf numFmtId="3" fontId="37" fillId="0" borderId="0" xfId="0" applyNumberFormat="1" applyFont="1" applyAlignment="1">
      <alignment/>
    </xf>
    <xf numFmtId="3" fontId="39" fillId="0" borderId="11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33" xfId="0" applyNumberFormat="1" applyFont="1" applyBorder="1" applyAlignment="1">
      <alignment/>
    </xf>
    <xf numFmtId="3" fontId="41" fillId="0" borderId="39" xfId="0" applyNumberFormat="1" applyFont="1" applyBorder="1" applyAlignment="1">
      <alignment/>
    </xf>
    <xf numFmtId="3" fontId="38" fillId="0" borderId="14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/>
    </xf>
    <xf numFmtId="3" fontId="31" fillId="0" borderId="13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 horizontal="right"/>
    </xf>
    <xf numFmtId="3" fontId="31" fillId="0" borderId="16" xfId="0" applyNumberFormat="1" applyFont="1" applyBorder="1" applyAlignment="1">
      <alignment/>
    </xf>
    <xf numFmtId="3" fontId="31" fillId="0" borderId="11" xfId="0" applyNumberFormat="1" applyFont="1" applyBorder="1" applyAlignment="1">
      <alignment horizontal="center"/>
    </xf>
    <xf numFmtId="3" fontId="31" fillId="0" borderId="11" xfId="0" applyNumberFormat="1" applyFont="1" applyBorder="1" applyAlignment="1">
      <alignment/>
    </xf>
    <xf numFmtId="3" fontId="32" fillId="0" borderId="16" xfId="0" applyNumberFormat="1" applyFont="1" applyBorder="1" applyAlignment="1">
      <alignment/>
    </xf>
    <xf numFmtId="3" fontId="32" fillId="0" borderId="11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/>
    </xf>
    <xf numFmtId="37" fontId="32" fillId="0" borderId="11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3" fontId="44" fillId="0" borderId="11" xfId="0" applyNumberFormat="1" applyFont="1" applyBorder="1" applyAlignment="1">
      <alignment horizontal="center"/>
    </xf>
    <xf numFmtId="3" fontId="44" fillId="0" borderId="11" xfId="0" applyNumberFormat="1" applyFont="1" applyBorder="1" applyAlignment="1">
      <alignment/>
    </xf>
    <xf numFmtId="3" fontId="31" fillId="0" borderId="16" xfId="0" applyNumberFormat="1" applyFont="1" applyBorder="1" applyAlignment="1">
      <alignment horizontal="center"/>
    </xf>
    <xf numFmtId="3" fontId="32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" fontId="32" fillId="0" borderId="16" xfId="0" applyNumberFormat="1" applyFont="1" applyBorder="1" applyAlignment="1" quotePrefix="1">
      <alignment/>
    </xf>
    <xf numFmtId="3" fontId="45" fillId="0" borderId="11" xfId="0" applyNumberFormat="1" applyFont="1" applyBorder="1" applyAlignment="1">
      <alignment horizontal="center"/>
    </xf>
    <xf numFmtId="3" fontId="32" fillId="0" borderId="17" xfId="0" applyNumberFormat="1" applyFont="1" applyBorder="1" applyAlignment="1">
      <alignment/>
    </xf>
    <xf numFmtId="3" fontId="32" fillId="0" borderId="26" xfId="0" applyNumberFormat="1" applyFont="1" applyBorder="1" applyAlignment="1">
      <alignment horizontal="center"/>
    </xf>
    <xf numFmtId="3" fontId="45" fillId="0" borderId="26" xfId="0" applyNumberFormat="1" applyFont="1" applyBorder="1" applyAlignment="1">
      <alignment horizontal="center"/>
    </xf>
    <xf numFmtId="3" fontId="45" fillId="0" borderId="26" xfId="0" applyNumberFormat="1" applyFont="1" applyBorder="1" applyAlignment="1">
      <alignment/>
    </xf>
    <xf numFmtId="3" fontId="44" fillId="0" borderId="13" xfId="0" applyNumberFormat="1" applyFont="1" applyBorder="1" applyAlignment="1">
      <alignment horizontal="center"/>
    </xf>
    <xf numFmtId="3" fontId="46" fillId="0" borderId="14" xfId="0" applyNumberFormat="1" applyFont="1" applyBorder="1" applyAlignment="1">
      <alignment horizontal="center"/>
    </xf>
    <xf numFmtId="3" fontId="44" fillId="0" borderId="14" xfId="0" applyNumberFormat="1" applyFont="1" applyBorder="1" applyAlignment="1">
      <alignment/>
    </xf>
    <xf numFmtId="3" fontId="44" fillId="0" borderId="0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3" fontId="44" fillId="0" borderId="0" xfId="0" applyNumberFormat="1" applyFont="1" applyBorder="1" applyAlignment="1">
      <alignment/>
    </xf>
    <xf numFmtId="3" fontId="44" fillId="0" borderId="31" xfId="0" applyNumberFormat="1" applyFont="1" applyBorder="1" applyAlignment="1">
      <alignment horizontal="left"/>
    </xf>
    <xf numFmtId="3" fontId="31" fillId="0" borderId="10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left"/>
    </xf>
    <xf numFmtId="3" fontId="44" fillId="0" borderId="14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32" fillId="0" borderId="0" xfId="0" applyNumberFormat="1" applyFont="1" applyAlignment="1">
      <alignment horizontal="center"/>
    </xf>
    <xf numFmtId="3" fontId="13" fillId="0" borderId="4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43" fillId="0" borderId="31" xfId="0" applyNumberFormat="1" applyFont="1" applyBorder="1" applyAlignment="1">
      <alignment horizontal="left"/>
    </xf>
    <xf numFmtId="3" fontId="48" fillId="0" borderId="2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3" fontId="48" fillId="0" borderId="24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11" xfId="0" applyNumberFormat="1" applyFont="1" applyBorder="1" applyAlignment="1" quotePrefix="1">
      <alignment horizontal="left"/>
    </xf>
    <xf numFmtId="3" fontId="2" fillId="0" borderId="31" xfId="0" applyNumberFormat="1" applyFont="1" applyBorder="1" applyAlignment="1" quotePrefix="1">
      <alignment horizontal="center"/>
    </xf>
    <xf numFmtId="3" fontId="2" fillId="0" borderId="16" xfId="0" applyNumberFormat="1" applyFont="1" applyBorder="1" applyAlignment="1" quotePrefix="1">
      <alignment horizontal="center"/>
    </xf>
    <xf numFmtId="3" fontId="8" fillId="0" borderId="16" xfId="0" applyNumberFormat="1" applyFont="1" applyBorder="1" applyAlignment="1">
      <alignment horizontal="right"/>
    </xf>
    <xf numFmtId="3" fontId="2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9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3" fontId="49" fillId="0" borderId="0" xfId="0" applyNumberFormat="1" applyFont="1" applyAlignment="1">
      <alignment horizontal="center"/>
    </xf>
    <xf numFmtId="3" fontId="50" fillId="0" borderId="0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31" fillId="0" borderId="0" xfId="0" applyNumberFormat="1" applyFont="1" applyAlignment="1">
      <alignment horizontal="left"/>
    </xf>
    <xf numFmtId="164" fontId="5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4" fontId="54" fillId="0" borderId="0" xfId="0" applyNumberFormat="1" applyFont="1" applyAlignment="1">
      <alignment horizontal="center"/>
    </xf>
    <xf numFmtId="3" fontId="6" fillId="0" borderId="0" xfId="0" applyNumberFormat="1" applyFont="1" applyAlignment="1">
      <alignment vertical="center"/>
    </xf>
    <xf numFmtId="164" fontId="56" fillId="0" borderId="16" xfId="59" applyNumberFormat="1" applyFont="1" applyBorder="1" applyAlignment="1">
      <alignment/>
    </xf>
    <xf numFmtId="164" fontId="57" fillId="0" borderId="16" xfId="59" applyNumberFormat="1" applyFont="1" applyBorder="1" applyAlignment="1">
      <alignment/>
    </xf>
    <xf numFmtId="164" fontId="58" fillId="0" borderId="16" xfId="59" applyNumberFormat="1" applyFont="1" applyBorder="1" applyAlignment="1">
      <alignment/>
    </xf>
    <xf numFmtId="164" fontId="59" fillId="0" borderId="17" xfId="59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64" fontId="60" fillId="0" borderId="18" xfId="0" applyNumberFormat="1" applyFont="1" applyBorder="1" applyAlignment="1">
      <alignment/>
    </xf>
    <xf numFmtId="37" fontId="8" fillId="0" borderId="16" xfId="0" applyNumberFormat="1" applyFont="1" applyBorder="1" applyAlignment="1">
      <alignment/>
    </xf>
    <xf numFmtId="37" fontId="10" fillId="0" borderId="16" xfId="0" applyNumberFormat="1" applyFont="1" applyBorder="1" applyAlignment="1">
      <alignment/>
    </xf>
    <xf numFmtId="3" fontId="31" fillId="0" borderId="0" xfId="0" applyNumberFormat="1" applyFont="1" applyAlignment="1">
      <alignment horizontal="center"/>
    </xf>
    <xf numFmtId="3" fontId="2" fillId="0" borderId="28" xfId="0" applyNumberFormat="1" applyFont="1" applyBorder="1" applyAlignment="1" quotePrefix="1">
      <alignment/>
    </xf>
    <xf numFmtId="3" fontId="31" fillId="0" borderId="0" xfId="0" applyNumberFormat="1" applyFont="1" applyAlignment="1">
      <alignment/>
    </xf>
    <xf numFmtId="3" fontId="28" fillId="0" borderId="0" xfId="0" applyNumberFormat="1" applyFont="1" applyAlignment="1">
      <alignment horizontal="left"/>
    </xf>
    <xf numFmtId="3" fontId="2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61" fillId="0" borderId="31" xfId="59" applyNumberFormat="1" applyFont="1" applyBorder="1" applyAlignment="1">
      <alignment horizontal="center"/>
    </xf>
    <xf numFmtId="164" fontId="55" fillId="0" borderId="16" xfId="59" applyNumberFormat="1" applyFont="1" applyBorder="1" applyAlignment="1">
      <alignment/>
    </xf>
    <xf numFmtId="37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/>
    </xf>
    <xf numFmtId="3" fontId="69" fillId="0" borderId="16" xfId="59" applyNumberFormat="1" applyFont="1" applyBorder="1" applyAlignment="1" quotePrefix="1">
      <alignment horizontal="center"/>
    </xf>
    <xf numFmtId="3" fontId="69" fillId="0" borderId="16" xfId="59" applyNumberFormat="1" applyFont="1" applyBorder="1" applyAlignment="1">
      <alignment/>
    </xf>
    <xf numFmtId="3" fontId="70" fillId="0" borderId="16" xfId="59" applyNumberFormat="1" applyFont="1" applyBorder="1" applyAlignment="1">
      <alignment horizontal="center"/>
    </xf>
    <xf numFmtId="3" fontId="69" fillId="0" borderId="16" xfId="59" applyNumberFormat="1" applyFont="1" applyBorder="1" applyAlignment="1">
      <alignment horizontal="center"/>
    </xf>
    <xf numFmtId="3" fontId="71" fillId="0" borderId="16" xfId="59" applyNumberFormat="1" applyFont="1" applyBorder="1" applyAlignment="1">
      <alignment horizontal="center"/>
    </xf>
    <xf numFmtId="3" fontId="71" fillId="0" borderId="27" xfId="59" applyNumberFormat="1" applyFont="1" applyBorder="1" applyAlignment="1">
      <alignment horizontal="center"/>
    </xf>
    <xf numFmtId="3" fontId="72" fillId="0" borderId="17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/>
    </xf>
    <xf numFmtId="0" fontId="73" fillId="0" borderId="0" xfId="0" applyFont="1" applyAlignment="1">
      <alignment/>
    </xf>
    <xf numFmtId="37" fontId="3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3" fontId="8" fillId="0" borderId="28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7" fontId="8" fillId="0" borderId="35" xfId="0" applyNumberFormat="1" applyFont="1" applyBorder="1" applyAlignment="1">
      <alignment/>
    </xf>
    <xf numFmtId="37" fontId="10" fillId="0" borderId="35" xfId="0" applyNumberFormat="1" applyFont="1" applyBorder="1" applyAlignment="1">
      <alignment/>
    </xf>
    <xf numFmtId="164" fontId="77" fillId="0" borderId="0" xfId="0" applyNumberFormat="1" applyFont="1" applyAlignment="1">
      <alignment horizontal="left"/>
    </xf>
    <xf numFmtId="3" fontId="79" fillId="0" borderId="0" xfId="0" applyNumberFormat="1" applyFont="1" applyAlignment="1">
      <alignment/>
    </xf>
    <xf numFmtId="3" fontId="23" fillId="0" borderId="0" xfId="0" applyNumberFormat="1" applyFont="1" applyAlignment="1">
      <alignment horizontal="right" vertical="center"/>
    </xf>
    <xf numFmtId="3" fontId="23" fillId="0" borderId="18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3" fontId="8" fillId="0" borderId="24" xfId="0" applyNumberFormat="1" applyFont="1" applyBorder="1" applyAlignment="1">
      <alignment/>
    </xf>
    <xf numFmtId="38" fontId="82" fillId="0" borderId="40" xfId="0" applyNumberFormat="1" applyFont="1" applyBorder="1" applyAlignment="1">
      <alignment horizontal="right"/>
    </xf>
    <xf numFmtId="38" fontId="67" fillId="0" borderId="31" xfId="59" applyNumberFormat="1" applyFont="1" applyBorder="1" applyAlignment="1">
      <alignment horizontal="right"/>
    </xf>
    <xf numFmtId="38" fontId="79" fillId="0" borderId="0" xfId="0" applyNumberFormat="1" applyFont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83" fillId="0" borderId="0" xfId="0" applyNumberFormat="1" applyFont="1" applyAlignment="1">
      <alignment horizontal="right"/>
    </xf>
    <xf numFmtId="38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3" fontId="2" fillId="0" borderId="31" xfId="0" applyNumberFormat="1" applyFont="1" applyBorder="1" applyAlignment="1">
      <alignment horizontal="center"/>
    </xf>
    <xf numFmtId="0" fontId="0" fillId="0" borderId="0" xfId="0" applyAlignment="1">
      <alignment/>
    </xf>
    <xf numFmtId="3" fontId="23" fillId="0" borderId="0" xfId="0" applyNumberFormat="1" applyFont="1" applyAlignment="1">
      <alignment horizontal="right"/>
    </xf>
    <xf numFmtId="38" fontId="21" fillId="0" borderId="31" xfId="59" applyNumberFormat="1" applyFont="1" applyBorder="1" applyAlignment="1">
      <alignment horizontal="right"/>
    </xf>
    <xf numFmtId="164" fontId="84" fillId="0" borderId="29" xfId="0" applyNumberFormat="1" applyFont="1" applyBorder="1" applyAlignment="1">
      <alignment horizontal="center" vertical="center"/>
    </xf>
    <xf numFmtId="164" fontId="84" fillId="0" borderId="15" xfId="0" applyNumberFormat="1" applyFont="1" applyBorder="1" applyAlignment="1">
      <alignment horizontal="center" vertical="center"/>
    </xf>
    <xf numFmtId="38" fontId="86" fillId="0" borderId="34" xfId="0" applyNumberFormat="1" applyFont="1" applyBorder="1" applyAlignment="1">
      <alignment horizontal="center" vertical="center"/>
    </xf>
    <xf numFmtId="3" fontId="87" fillId="0" borderId="15" xfId="0" applyNumberFormat="1" applyFont="1" applyBorder="1" applyAlignment="1">
      <alignment horizontal="center" vertical="center" wrapText="1"/>
    </xf>
    <xf numFmtId="38" fontId="87" fillId="0" borderId="13" xfId="0" applyNumberFormat="1" applyFont="1" applyBorder="1" applyAlignment="1">
      <alignment horizontal="center" vertical="center"/>
    </xf>
    <xf numFmtId="164" fontId="88" fillId="0" borderId="18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7" fontId="2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8" fillId="0" borderId="16" xfId="0" applyNumberFormat="1" applyFont="1" applyBorder="1" applyAlignment="1" quotePrefix="1">
      <alignment wrapText="1"/>
    </xf>
    <xf numFmtId="3" fontId="66" fillId="0" borderId="0" xfId="0" applyNumberFormat="1" applyFont="1" applyAlignment="1">
      <alignment horizontal="center"/>
    </xf>
    <xf numFmtId="166" fontId="50" fillId="0" borderId="0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8" fontId="2" fillId="0" borderId="33" xfId="0" applyNumberFormat="1" applyFont="1" applyBorder="1" applyAlignment="1">
      <alignment/>
    </xf>
    <xf numFmtId="38" fontId="8" fillId="0" borderId="16" xfId="0" applyNumberFormat="1" applyFont="1" applyBorder="1" applyAlignment="1">
      <alignment/>
    </xf>
    <xf numFmtId="38" fontId="10" fillId="0" borderId="16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38" fontId="89" fillId="0" borderId="21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2" fillId="0" borderId="33" xfId="0" applyNumberFormat="1" applyFont="1" applyBorder="1" applyAlignment="1" quotePrefix="1">
      <alignment/>
    </xf>
    <xf numFmtId="3" fontId="2" fillId="0" borderId="25" xfId="0" applyNumberFormat="1" applyFont="1" applyBorder="1" applyAlignment="1">
      <alignment horizontal="center"/>
    </xf>
    <xf numFmtId="3" fontId="90" fillId="0" borderId="0" xfId="0" applyNumberFormat="1" applyFont="1" applyAlignment="1">
      <alignment/>
    </xf>
    <xf numFmtId="3" fontId="91" fillId="0" borderId="0" xfId="0" applyNumberFormat="1" applyFont="1" applyAlignment="1">
      <alignment/>
    </xf>
    <xf numFmtId="3" fontId="92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5" fillId="0" borderId="0" xfId="0" applyNumberFormat="1" applyFont="1" applyAlignment="1" quotePrefix="1">
      <alignment/>
    </xf>
    <xf numFmtId="3" fontId="91" fillId="0" borderId="0" xfId="0" applyNumberFormat="1" applyFont="1" applyAlignment="1" quotePrefix="1">
      <alignment/>
    </xf>
    <xf numFmtId="3" fontId="91" fillId="0" borderId="0" xfId="0" applyNumberFormat="1" applyFont="1" applyBorder="1" applyAlignment="1">
      <alignment/>
    </xf>
    <xf numFmtId="3" fontId="35" fillId="0" borderId="0" xfId="0" applyNumberFormat="1" applyFont="1" applyBorder="1" applyAlignment="1" quotePrefix="1">
      <alignment/>
    </xf>
    <xf numFmtId="3" fontId="35" fillId="0" borderId="0" xfId="0" applyNumberFormat="1" applyFont="1" applyBorder="1" applyAlignment="1">
      <alignment/>
    </xf>
    <xf numFmtId="3" fontId="92" fillId="0" borderId="0" xfId="0" applyNumberFormat="1" applyFont="1" applyBorder="1" applyAlignment="1">
      <alignment horizontal="left"/>
    </xf>
    <xf numFmtId="3" fontId="35" fillId="0" borderId="0" xfId="0" applyNumberFormat="1" applyFont="1" applyBorder="1" applyAlignment="1">
      <alignment horizontal="center"/>
    </xf>
    <xf numFmtId="3" fontId="91" fillId="0" borderId="0" xfId="0" applyNumberFormat="1" applyFont="1" applyBorder="1" applyAlignment="1">
      <alignment horizontal="left"/>
    </xf>
    <xf numFmtId="3" fontId="91" fillId="0" borderId="0" xfId="0" applyNumberFormat="1" applyFont="1" applyBorder="1" applyAlignment="1" quotePrefix="1">
      <alignment horizontal="left"/>
    </xf>
    <xf numFmtId="3" fontId="35" fillId="0" borderId="0" xfId="0" applyNumberFormat="1" applyFont="1" applyBorder="1" applyAlignment="1">
      <alignment horizontal="left"/>
    </xf>
    <xf numFmtId="3" fontId="35" fillId="0" borderId="0" xfId="0" applyNumberFormat="1" applyFont="1" applyBorder="1" applyAlignment="1" quotePrefix="1">
      <alignment horizontal="left"/>
    </xf>
    <xf numFmtId="3" fontId="35" fillId="0" borderId="0" xfId="0" applyNumberFormat="1" applyFont="1" applyFill="1" applyBorder="1" applyAlignment="1">
      <alignment wrapText="1"/>
    </xf>
    <xf numFmtId="3" fontId="92" fillId="0" borderId="13" xfId="0" applyNumberFormat="1" applyFont="1" applyBorder="1" applyAlignment="1">
      <alignment/>
    </xf>
    <xf numFmtId="3" fontId="91" fillId="0" borderId="20" xfId="0" applyNumberFormat="1" applyFont="1" applyBorder="1" applyAlignment="1" quotePrefix="1">
      <alignment/>
    </xf>
    <xf numFmtId="3" fontId="91" fillId="0" borderId="10" xfId="0" applyNumberFormat="1" applyFont="1" applyBorder="1" applyAlignment="1" quotePrefix="1">
      <alignment/>
    </xf>
    <xf numFmtId="3" fontId="92" fillId="0" borderId="22" xfId="0" applyNumberFormat="1" applyFont="1" applyBorder="1" applyAlignment="1">
      <alignment/>
    </xf>
    <xf numFmtId="3" fontId="90" fillId="0" borderId="13" xfId="0" applyNumberFormat="1" applyFont="1" applyBorder="1" applyAlignment="1">
      <alignment/>
    </xf>
    <xf numFmtId="3" fontId="91" fillId="0" borderId="17" xfId="0" applyNumberFormat="1" applyFont="1" applyBorder="1" applyAlignment="1" quotePrefix="1">
      <alignment/>
    </xf>
    <xf numFmtId="3" fontId="91" fillId="0" borderId="35" xfId="0" applyNumberFormat="1" applyFont="1" applyBorder="1" applyAlignment="1" quotePrefix="1">
      <alignment/>
    </xf>
    <xf numFmtId="38" fontId="2" fillId="0" borderId="16" xfId="0" applyNumberFormat="1" applyFont="1" applyBorder="1" applyAlignment="1">
      <alignment/>
    </xf>
    <xf numFmtId="3" fontId="93" fillId="0" borderId="16" xfId="0" applyNumberFormat="1" applyFont="1" applyBorder="1" applyAlignment="1">
      <alignment/>
    </xf>
    <xf numFmtId="3" fontId="91" fillId="0" borderId="16" xfId="0" applyNumberFormat="1" applyFont="1" applyBorder="1" applyAlignment="1">
      <alignment/>
    </xf>
    <xf numFmtId="164" fontId="25" fillId="0" borderId="0" xfId="0" applyNumberFormat="1" applyFont="1" applyAlignment="1">
      <alignment horizontal="right"/>
    </xf>
    <xf numFmtId="164" fontId="47" fillId="0" borderId="18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2" fillId="0" borderId="15" xfId="0" applyNumberFormat="1" applyFont="1" applyBorder="1" applyAlignment="1">
      <alignment horizontal="center"/>
    </xf>
    <xf numFmtId="3" fontId="2" fillId="0" borderId="40" xfId="0" applyNumberFormat="1" applyFont="1" applyBorder="1" applyAlignment="1" quotePrefix="1">
      <alignment/>
    </xf>
    <xf numFmtId="3" fontId="31" fillId="0" borderId="29" xfId="0" applyNumberFormat="1" applyFont="1" applyBorder="1" applyAlignment="1">
      <alignment horizontal="center"/>
    </xf>
    <xf numFmtId="3" fontId="31" fillId="0" borderId="30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38" fontId="67" fillId="0" borderId="16" xfId="59" applyNumberFormat="1" applyFont="1" applyBorder="1" applyAlignment="1">
      <alignment/>
    </xf>
    <xf numFmtId="38" fontId="67" fillId="0" borderId="16" xfId="59" applyNumberFormat="1" applyFont="1" applyBorder="1" applyAlignment="1">
      <alignment horizontal="right"/>
    </xf>
    <xf numFmtId="38" fontId="68" fillId="0" borderId="16" xfId="59" applyNumberFormat="1" applyFont="1" applyBorder="1" applyAlignment="1">
      <alignment horizontal="right"/>
    </xf>
    <xf numFmtId="38" fontId="68" fillId="0" borderId="16" xfId="59" applyNumberFormat="1" applyFont="1" applyBorder="1" applyAlignment="1">
      <alignment/>
    </xf>
    <xf numFmtId="38" fontId="21" fillId="0" borderId="16" xfId="59" applyNumberFormat="1" applyFont="1" applyBorder="1" applyAlignment="1">
      <alignment horizontal="right"/>
    </xf>
    <xf numFmtId="38" fontId="94" fillId="0" borderId="17" xfId="0" applyNumberFormat="1" applyFont="1" applyBorder="1" applyAlignment="1">
      <alignment horizontal="right"/>
    </xf>
    <xf numFmtId="38" fontId="89" fillId="0" borderId="16" xfId="0" applyNumberFormat="1" applyFont="1" applyBorder="1" applyAlignment="1">
      <alignment horizontal="right"/>
    </xf>
    <xf numFmtId="38" fontId="21" fillId="0" borderId="16" xfId="59" applyNumberFormat="1" applyFont="1" applyBorder="1" applyAlignment="1">
      <alignment/>
    </xf>
    <xf numFmtId="3" fontId="9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5" fillId="0" borderId="0" xfId="0" applyNumberFormat="1" applyFont="1" applyBorder="1" applyAlignment="1">
      <alignment/>
    </xf>
    <xf numFmtId="3" fontId="91" fillId="0" borderId="28" xfId="0" applyNumberFormat="1" applyFont="1" applyBorder="1" applyAlignment="1" quotePrefix="1">
      <alignment horizontal="left"/>
    </xf>
    <xf numFmtId="3" fontId="91" fillId="0" borderId="16" xfId="0" applyNumberFormat="1" applyFont="1" applyBorder="1" applyAlignment="1" quotePrefix="1">
      <alignment horizontal="left"/>
    </xf>
    <xf numFmtId="3" fontId="2" fillId="0" borderId="16" xfId="0" applyNumberFormat="1" applyFont="1" applyBorder="1" applyAlignment="1" quotePrefix="1">
      <alignment horizontal="left"/>
    </xf>
    <xf numFmtId="3" fontId="8" fillId="0" borderId="35" xfId="0" applyNumberFormat="1" applyFont="1" applyBorder="1" applyAlignment="1">
      <alignment/>
    </xf>
    <xf numFmtId="3" fontId="91" fillId="0" borderId="16" xfId="0" applyNumberFormat="1" applyFont="1" applyBorder="1" applyAlignment="1" quotePrefix="1">
      <alignment horizontal="left" wrapText="1"/>
    </xf>
    <xf numFmtId="165" fontId="0" fillId="0" borderId="0" xfId="0" applyNumberFormat="1" applyFont="1" applyAlignment="1">
      <alignment/>
    </xf>
    <xf numFmtId="165" fontId="0" fillId="0" borderId="16" xfId="0" applyNumberFormat="1" applyFont="1" applyBorder="1" applyAlignment="1">
      <alignment/>
    </xf>
    <xf numFmtId="165" fontId="97" fillId="0" borderId="0" xfId="0" applyNumberFormat="1" applyFont="1" applyAlignment="1">
      <alignment/>
    </xf>
    <xf numFmtId="38" fontId="98" fillId="0" borderId="16" xfId="59" applyNumberFormat="1" applyFont="1" applyBorder="1" applyAlignment="1">
      <alignment/>
    </xf>
    <xf numFmtId="38" fontId="97" fillId="0" borderId="16" xfId="59" applyNumberFormat="1" applyFont="1" applyBorder="1" applyAlignment="1">
      <alignment/>
    </xf>
    <xf numFmtId="38" fontId="97" fillId="0" borderId="16" xfId="59" applyNumberFormat="1" applyFont="1" applyBorder="1" applyAlignment="1">
      <alignment horizontal="right"/>
    </xf>
    <xf numFmtId="38" fontId="99" fillId="0" borderId="16" xfId="59" applyNumberFormat="1" applyFont="1" applyBorder="1" applyAlignment="1">
      <alignment/>
    </xf>
    <xf numFmtId="38" fontId="100" fillId="0" borderId="16" xfId="59" applyNumberFormat="1" applyFont="1" applyBorder="1" applyAlignment="1">
      <alignment/>
    </xf>
    <xf numFmtId="38" fontId="101" fillId="0" borderId="16" xfId="59" applyNumberFormat="1" applyFont="1" applyBorder="1" applyAlignment="1">
      <alignment horizontal="right"/>
    </xf>
    <xf numFmtId="165" fontId="97" fillId="0" borderId="16" xfId="0" applyNumberFormat="1" applyFont="1" applyBorder="1" applyAlignment="1">
      <alignment/>
    </xf>
    <xf numFmtId="38" fontId="99" fillId="0" borderId="16" xfId="59" applyNumberFormat="1" applyFont="1" applyBorder="1" applyAlignment="1">
      <alignment horizontal="right"/>
    </xf>
    <xf numFmtId="38" fontId="102" fillId="0" borderId="21" xfId="0" applyNumberFormat="1" applyFont="1" applyBorder="1" applyAlignment="1">
      <alignment/>
    </xf>
    <xf numFmtId="38" fontId="102" fillId="0" borderId="16" xfId="0" applyNumberFormat="1" applyFont="1" applyBorder="1" applyAlignment="1">
      <alignment/>
    </xf>
    <xf numFmtId="38" fontId="103" fillId="0" borderId="16" xfId="0" applyNumberFormat="1" applyFont="1" applyBorder="1" applyAlignment="1">
      <alignment horizontal="right"/>
    </xf>
    <xf numFmtId="38" fontId="104" fillId="0" borderId="16" xfId="59" applyNumberFormat="1" applyFont="1" applyBorder="1" applyAlignment="1">
      <alignment/>
    </xf>
    <xf numFmtId="38" fontId="105" fillId="0" borderId="17" xfId="0" applyNumberFormat="1" applyFont="1" applyBorder="1" applyAlignment="1">
      <alignment/>
    </xf>
    <xf numFmtId="38" fontId="105" fillId="0" borderId="17" xfId="0" applyNumberFormat="1" applyFont="1" applyBorder="1" applyAlignment="1">
      <alignment horizontal="right"/>
    </xf>
    <xf numFmtId="3" fontId="97" fillId="0" borderId="16" xfId="59" applyNumberFormat="1" applyFont="1" applyBorder="1" applyAlignment="1" quotePrefix="1">
      <alignment horizontal="center"/>
    </xf>
    <xf numFmtId="3" fontId="101" fillId="0" borderId="16" xfId="59" applyNumberFormat="1" applyFont="1" applyBorder="1" applyAlignment="1">
      <alignment horizontal="center"/>
    </xf>
    <xf numFmtId="3" fontId="97" fillId="0" borderId="16" xfId="59" applyNumberFormat="1" applyFont="1" applyBorder="1" applyAlignment="1">
      <alignment/>
    </xf>
    <xf numFmtId="3" fontId="97" fillId="0" borderId="16" xfId="59" applyNumberFormat="1" applyFont="1" applyBorder="1" applyAlignment="1">
      <alignment horizontal="center"/>
    </xf>
    <xf numFmtId="3" fontId="99" fillId="0" borderId="16" xfId="59" applyNumberFormat="1" applyFont="1" applyBorder="1" applyAlignment="1">
      <alignment horizontal="center"/>
    </xf>
    <xf numFmtId="3" fontId="106" fillId="0" borderId="17" xfId="0" applyNumberFormat="1" applyFont="1" applyBorder="1" applyAlignment="1">
      <alignment horizontal="center"/>
    </xf>
    <xf numFmtId="3" fontId="107" fillId="0" borderId="31" xfId="0" applyNumberFormat="1" applyFont="1" applyBorder="1" applyAlignment="1">
      <alignment horizontal="right"/>
    </xf>
    <xf numFmtId="38" fontId="23" fillId="0" borderId="18" xfId="0" applyNumberFormat="1" applyFont="1" applyBorder="1" applyAlignment="1">
      <alignment/>
    </xf>
    <xf numFmtId="3" fontId="91" fillId="0" borderId="31" xfId="0" applyNumberFormat="1" applyFont="1" applyBorder="1" applyAlignment="1">
      <alignment/>
    </xf>
    <xf numFmtId="3" fontId="91" fillId="0" borderId="31" xfId="0" applyNumberFormat="1" applyFont="1" applyBorder="1" applyAlignment="1" quotePrefix="1">
      <alignment horizontal="center"/>
    </xf>
    <xf numFmtId="3" fontId="107" fillId="0" borderId="31" xfId="0" applyNumberFormat="1" applyFont="1" applyBorder="1" applyAlignment="1">
      <alignment horizontal="center"/>
    </xf>
    <xf numFmtId="3" fontId="107" fillId="0" borderId="31" xfId="0" applyNumberFormat="1" applyFont="1" applyBorder="1" applyAlignment="1">
      <alignment/>
    </xf>
    <xf numFmtId="3" fontId="91" fillId="0" borderId="16" xfId="0" applyNumberFormat="1" applyFont="1" applyBorder="1" applyAlignment="1" quotePrefix="1">
      <alignment horizontal="center"/>
    </xf>
    <xf numFmtId="3" fontId="107" fillId="0" borderId="16" xfId="0" applyNumberFormat="1" applyFont="1" applyBorder="1" applyAlignment="1">
      <alignment horizontal="center"/>
    </xf>
    <xf numFmtId="3" fontId="107" fillId="0" borderId="16" xfId="0" applyNumberFormat="1" applyFont="1" applyBorder="1" applyAlignment="1">
      <alignment horizontal="right"/>
    </xf>
    <xf numFmtId="3" fontId="107" fillId="0" borderId="16" xfId="0" applyNumberFormat="1" applyFont="1" applyBorder="1" applyAlignment="1">
      <alignment/>
    </xf>
    <xf numFmtId="3" fontId="91" fillId="0" borderId="16" xfId="0" applyNumberFormat="1" applyFont="1" applyBorder="1" applyAlignment="1">
      <alignment horizontal="center"/>
    </xf>
    <xf numFmtId="3" fontId="35" fillId="0" borderId="16" xfId="0" applyNumberFormat="1" applyFont="1" applyBorder="1" applyAlignment="1">
      <alignment/>
    </xf>
    <xf numFmtId="3" fontId="35" fillId="0" borderId="16" xfId="0" applyNumberFormat="1" applyFont="1" applyBorder="1" applyAlignment="1">
      <alignment horizontal="center"/>
    </xf>
    <xf numFmtId="3" fontId="108" fillId="0" borderId="16" xfId="0" applyNumberFormat="1" applyFont="1" applyBorder="1" applyAlignment="1">
      <alignment horizontal="center"/>
    </xf>
    <xf numFmtId="3" fontId="108" fillId="0" borderId="16" xfId="0" applyNumberFormat="1" applyFont="1" applyBorder="1" applyAlignment="1">
      <alignment horizontal="right"/>
    </xf>
    <xf numFmtId="3" fontId="108" fillId="0" borderId="16" xfId="0" applyNumberFormat="1" applyFont="1" applyBorder="1" applyAlignment="1">
      <alignment/>
    </xf>
    <xf numFmtId="3" fontId="108" fillId="0" borderId="31" xfId="0" applyNumberFormat="1" applyFont="1" applyBorder="1" applyAlignment="1">
      <alignment horizontal="right"/>
    </xf>
    <xf numFmtId="38" fontId="107" fillId="0" borderId="16" xfId="0" applyNumberFormat="1" applyFont="1" applyBorder="1" applyAlignment="1">
      <alignment/>
    </xf>
    <xf numFmtId="3" fontId="91" fillId="0" borderId="17" xfId="0" applyNumberFormat="1" applyFont="1" applyBorder="1" applyAlignment="1">
      <alignment/>
    </xf>
    <xf numFmtId="3" fontId="91" fillId="0" borderId="17" xfId="0" applyNumberFormat="1" applyFont="1" applyBorder="1" applyAlignment="1">
      <alignment horizontal="center"/>
    </xf>
    <xf numFmtId="3" fontId="107" fillId="0" borderId="17" xfId="0" applyNumberFormat="1" applyFont="1" applyBorder="1" applyAlignment="1">
      <alignment horizontal="center"/>
    </xf>
    <xf numFmtId="3" fontId="107" fillId="0" borderId="17" xfId="0" applyNumberFormat="1" applyFont="1" applyBorder="1" applyAlignment="1">
      <alignment horizontal="right"/>
    </xf>
    <xf numFmtId="37" fontId="8" fillId="0" borderId="31" xfId="0" applyNumberFormat="1" applyFont="1" applyBorder="1" applyAlignment="1">
      <alignment/>
    </xf>
    <xf numFmtId="3" fontId="8" fillId="0" borderId="42" xfId="0" applyNumberFormat="1" applyFont="1" applyBorder="1" applyAlignment="1">
      <alignment wrapText="1"/>
    </xf>
    <xf numFmtId="3" fontId="8" fillId="0" borderId="25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3" fontId="112" fillId="0" borderId="0" xfId="0" applyNumberFormat="1" applyFont="1" applyAlignment="1">
      <alignment/>
    </xf>
    <xf numFmtId="0" fontId="110" fillId="0" borderId="0" xfId="0" applyFont="1" applyBorder="1" applyAlignment="1">
      <alignment vertical="top" wrapText="1"/>
    </xf>
    <xf numFmtId="0" fontId="66" fillId="0" borderId="0" xfId="0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15" fillId="0" borderId="18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3" fontId="90" fillId="0" borderId="14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/>
    </xf>
    <xf numFmtId="3" fontId="18" fillId="0" borderId="17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11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83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3" fontId="91" fillId="0" borderId="31" xfId="0" applyNumberFormat="1" applyFont="1" applyBorder="1" applyAlignment="1" quotePrefix="1">
      <alignment horizontal="left"/>
    </xf>
    <xf numFmtId="3" fontId="3" fillId="0" borderId="21" xfId="0" applyNumberFormat="1" applyFont="1" applyFill="1" applyBorder="1" applyAlignment="1">
      <alignment/>
    </xf>
    <xf numFmtId="3" fontId="3" fillId="0" borderId="11" xfId="0" applyNumberFormat="1" applyFont="1" applyFill="1" applyBorder="1" applyAlignment="1" quotePrefix="1">
      <alignment/>
    </xf>
    <xf numFmtId="3" fontId="3" fillId="0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8" fontId="113" fillId="0" borderId="16" xfId="59" applyNumberFormat="1" applyFont="1" applyBorder="1" applyAlignment="1">
      <alignment/>
    </xf>
    <xf numFmtId="38" fontId="113" fillId="0" borderId="16" xfId="59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/>
    </xf>
    <xf numFmtId="3" fontId="115" fillId="0" borderId="0" xfId="0" applyNumberFormat="1" applyFont="1" applyAlignment="1">
      <alignment/>
    </xf>
    <xf numFmtId="164" fontId="22" fillId="0" borderId="0" xfId="0" applyNumberFormat="1" applyFont="1" applyAlignment="1">
      <alignment horizontal="left"/>
    </xf>
    <xf numFmtId="3" fontId="90" fillId="0" borderId="13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right"/>
    </xf>
    <xf numFmtId="3" fontId="5" fillId="0" borderId="4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95" fillId="0" borderId="29" xfId="0" applyNumberFormat="1" applyFont="1" applyBorder="1" applyAlignment="1">
      <alignment horizontal="center" vertical="center" wrapText="1"/>
    </xf>
    <xf numFmtId="3" fontId="95" fillId="0" borderId="15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3" fontId="51" fillId="0" borderId="13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2" fillId="0" borderId="21" xfId="0" applyNumberFormat="1" applyFont="1" applyBorder="1" applyAlignment="1">
      <alignment horizontal="left"/>
    </xf>
    <xf numFmtId="3" fontId="2" fillId="0" borderId="37" xfId="0" applyNumberFormat="1" applyFont="1" applyBorder="1" applyAlignment="1">
      <alignment horizontal="left"/>
    </xf>
    <xf numFmtId="3" fontId="109" fillId="0" borderId="0" xfId="0" applyNumberFormat="1" applyFont="1" applyBorder="1" applyAlignment="1">
      <alignment horizontal="center"/>
    </xf>
    <xf numFmtId="3" fontId="35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right"/>
    </xf>
    <xf numFmtId="164" fontId="33" fillId="0" borderId="18" xfId="0" applyNumberFormat="1" applyFont="1" applyBorder="1" applyAlignment="1">
      <alignment horizontal="left"/>
    </xf>
    <xf numFmtId="3" fontId="16" fillId="0" borderId="40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3" fontId="34" fillId="0" borderId="29" xfId="0" applyNumberFormat="1" applyFont="1" applyBorder="1" applyAlignment="1">
      <alignment horizontal="center" wrapText="1"/>
    </xf>
    <xf numFmtId="3" fontId="34" fillId="0" borderId="15" xfId="0" applyNumberFormat="1" applyFont="1" applyBorder="1" applyAlignment="1">
      <alignment horizontal="center" wrapText="1"/>
    </xf>
    <xf numFmtId="38" fontId="75" fillId="0" borderId="0" xfId="0" applyNumberFormat="1" applyFont="1" applyAlignment="1">
      <alignment horizontal="right"/>
    </xf>
    <xf numFmtId="38" fontId="23" fillId="0" borderId="0" xfId="0" applyNumberFormat="1" applyFont="1" applyAlignment="1">
      <alignment horizontal="right"/>
    </xf>
    <xf numFmtId="38" fontId="23" fillId="0" borderId="0" xfId="0" applyNumberFormat="1" applyFont="1" applyBorder="1" applyAlignment="1">
      <alignment horizontal="right"/>
    </xf>
    <xf numFmtId="164" fontId="62" fillId="32" borderId="0" xfId="0" applyNumberFormat="1" applyFont="1" applyFill="1" applyBorder="1" applyAlignment="1">
      <alignment horizontal="center" vertical="center"/>
    </xf>
    <xf numFmtId="164" fontId="54" fillId="32" borderId="0" xfId="0" applyNumberFormat="1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center"/>
    </xf>
    <xf numFmtId="38" fontId="78" fillId="0" borderId="18" xfId="0" applyNumberFormat="1" applyFont="1" applyBorder="1" applyAlignment="1">
      <alignment horizontal="right"/>
    </xf>
    <xf numFmtId="3" fontId="85" fillId="0" borderId="29" xfId="0" applyNumberFormat="1" applyFont="1" applyBorder="1" applyAlignment="1">
      <alignment horizontal="center" wrapText="1"/>
    </xf>
    <xf numFmtId="0" fontId="87" fillId="0" borderId="15" xfId="0" applyFont="1" applyBorder="1" applyAlignment="1">
      <alignment horizontal="center"/>
    </xf>
    <xf numFmtId="38" fontId="3" fillId="0" borderId="0" xfId="0" applyNumberFormat="1" applyFont="1" applyAlignment="1">
      <alignment horizontal="left"/>
    </xf>
    <xf numFmtId="38" fontId="13" fillId="0" borderId="0" xfId="0" applyNumberFormat="1" applyFont="1" applyBorder="1" applyAlignment="1">
      <alignment horizontal="left"/>
    </xf>
    <xf numFmtId="38" fontId="100" fillId="0" borderId="22" xfId="0" applyNumberFormat="1" applyFont="1" applyBorder="1" applyAlignment="1">
      <alignment horizontal="center" vertical="center"/>
    </xf>
    <xf numFmtId="38" fontId="100" fillId="0" borderId="14" xfId="0" applyNumberFormat="1" applyFont="1" applyBorder="1" applyAlignment="1">
      <alignment horizontal="center" vertical="center"/>
    </xf>
    <xf numFmtId="38" fontId="96" fillId="0" borderId="22" xfId="0" applyNumberFormat="1" applyFont="1" applyBorder="1" applyAlignment="1">
      <alignment horizontal="center" vertical="center"/>
    </xf>
    <xf numFmtId="38" fontId="96" fillId="0" borderId="14" xfId="0" applyNumberFormat="1" applyFont="1" applyBorder="1" applyAlignment="1">
      <alignment horizontal="center" vertical="center"/>
    </xf>
    <xf numFmtId="38" fontId="86" fillId="0" borderId="22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" fontId="66" fillId="0" borderId="18" xfId="0" applyNumberFormat="1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6" fillId="0" borderId="18" xfId="0" applyFont="1" applyBorder="1" applyAlignment="1">
      <alignment horizontal="left" vertical="top" wrapText="1"/>
    </xf>
    <xf numFmtId="3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676275</xdr:colOff>
      <xdr:row>3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304800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647700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581025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647700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0"/>
  <sheetViews>
    <sheetView tabSelected="1" zoomScale="82" zoomScaleNormal="82" workbookViewId="0" topLeftCell="A1">
      <selection activeCell="O23" sqref="O23"/>
    </sheetView>
  </sheetViews>
  <sheetFormatPr defaultColWidth="9.00390625" defaultRowHeight="12.75"/>
  <cols>
    <col min="1" max="1" width="39.375" style="2" customWidth="1"/>
    <col min="2" max="2" width="4.25390625" style="1" customWidth="1"/>
    <col min="3" max="3" width="6.875" style="1" customWidth="1"/>
    <col min="4" max="4" width="18.25390625" style="123" hidden="1" customWidth="1"/>
    <col min="5" max="5" width="17.875" style="123" hidden="1" customWidth="1"/>
    <col min="6" max="7" width="15.25390625" style="2" hidden="1" customWidth="1"/>
    <col min="8" max="9" width="15.25390625" style="2" customWidth="1"/>
    <col min="10" max="10" width="16.00390625" style="2" hidden="1" customWidth="1"/>
    <col min="11" max="11" width="16.75390625" style="2" hidden="1" customWidth="1"/>
    <col min="12" max="13" width="15.75390625" style="2" customWidth="1"/>
    <col min="14" max="14" width="9.125" style="2" customWidth="1"/>
    <col min="15" max="15" width="18.00390625" style="2" bestFit="1" customWidth="1"/>
    <col min="16" max="16" width="21.875" style="2" customWidth="1"/>
    <col min="17" max="17" width="22.00390625" style="2" customWidth="1"/>
    <col min="18" max="18" width="12.00390625" style="2" bestFit="1" customWidth="1"/>
    <col min="19" max="19" width="18.625" style="2" customWidth="1"/>
    <col min="20" max="16384" width="9.125" style="2" customWidth="1"/>
  </cols>
  <sheetData>
    <row r="1" ht="12" customHeight="1"/>
    <row r="2" spans="1:13" ht="17.25">
      <c r="A2" s="420" t="s">
        <v>699</v>
      </c>
      <c r="B2" s="420"/>
      <c r="C2" s="420"/>
      <c r="D2" s="420"/>
      <c r="E2" s="420"/>
      <c r="F2" s="420"/>
      <c r="G2" s="420"/>
      <c r="H2" s="420"/>
      <c r="I2" s="420"/>
      <c r="J2" s="244"/>
      <c r="K2" s="244"/>
      <c r="L2" s="422" t="s">
        <v>323</v>
      </c>
      <c r="M2" s="422"/>
    </row>
    <row r="3" spans="1:13" ht="15.75">
      <c r="A3" s="121" t="s">
        <v>258</v>
      </c>
      <c r="B3" s="36"/>
      <c r="C3" s="36"/>
      <c r="D3" s="122"/>
      <c r="E3" s="122"/>
      <c r="H3" s="241"/>
      <c r="I3" s="241"/>
      <c r="J3" s="241"/>
      <c r="K3" s="241"/>
      <c r="L3" s="241"/>
      <c r="M3" s="241" t="s">
        <v>344</v>
      </c>
    </row>
    <row r="4" spans="1:13" s="313" customFormat="1" ht="15">
      <c r="A4" s="308" t="s">
        <v>607</v>
      </c>
      <c r="B4" s="309"/>
      <c r="C4" s="309"/>
      <c r="D4" s="310"/>
      <c r="E4" s="310"/>
      <c r="F4" s="311"/>
      <c r="G4" s="311"/>
      <c r="H4" s="312"/>
      <c r="I4" s="312"/>
      <c r="J4" s="312"/>
      <c r="K4" s="312"/>
      <c r="L4" s="312"/>
      <c r="M4" s="312"/>
    </row>
    <row r="5" spans="1:13" ht="40.5" customHeight="1">
      <c r="A5" s="423" t="s">
        <v>12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</row>
    <row r="6" spans="1:13" ht="26.25" customHeight="1">
      <c r="A6" s="424" t="s">
        <v>681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</row>
    <row r="7" spans="1:13" ht="16.5" customHeight="1">
      <c r="A7" s="3"/>
      <c r="G7" s="4"/>
      <c r="H7" s="5"/>
      <c r="I7" s="25"/>
      <c r="J7" s="25"/>
      <c r="K7" s="25"/>
      <c r="M7" s="25" t="s">
        <v>13</v>
      </c>
    </row>
    <row r="8" spans="1:13" s="199" customFormat="1" ht="20.25" customHeight="1">
      <c r="A8" s="428" t="s">
        <v>282</v>
      </c>
      <c r="B8" s="430" t="s">
        <v>361</v>
      </c>
      <c r="C8" s="425" t="s">
        <v>362</v>
      </c>
      <c r="D8" s="434" t="s">
        <v>351</v>
      </c>
      <c r="E8" s="434"/>
      <c r="F8" s="433" t="s">
        <v>360</v>
      </c>
      <c r="G8" s="433"/>
      <c r="H8" s="433" t="s">
        <v>695</v>
      </c>
      <c r="I8" s="433"/>
      <c r="J8" s="427" t="s">
        <v>360</v>
      </c>
      <c r="K8" s="427"/>
      <c r="L8" s="421" t="s">
        <v>602</v>
      </c>
      <c r="M8" s="421"/>
    </row>
    <row r="9" spans="1:13" s="199" customFormat="1" ht="21.75" customHeight="1">
      <c r="A9" s="429"/>
      <c r="B9" s="429"/>
      <c r="C9" s="426" t="s">
        <v>14</v>
      </c>
      <c r="D9" s="314" t="s">
        <v>556</v>
      </c>
      <c r="E9" s="314" t="s">
        <v>352</v>
      </c>
      <c r="F9" s="17" t="s">
        <v>556</v>
      </c>
      <c r="G9" s="17" t="s">
        <v>352</v>
      </c>
      <c r="H9" s="17" t="s">
        <v>556</v>
      </c>
      <c r="I9" s="17" t="s">
        <v>352</v>
      </c>
      <c r="J9" s="314" t="s">
        <v>352</v>
      </c>
      <c r="K9" s="314" t="s">
        <v>343</v>
      </c>
      <c r="L9" s="17" t="s">
        <v>556</v>
      </c>
      <c r="M9" s="17" t="s">
        <v>352</v>
      </c>
    </row>
    <row r="10" spans="1:19" s="191" customFormat="1" ht="24" customHeight="1">
      <c r="A10" s="360" t="s">
        <v>558</v>
      </c>
      <c r="B10" s="361"/>
      <c r="C10" s="362" t="s">
        <v>16</v>
      </c>
      <c r="D10" s="358">
        <v>54584113916</v>
      </c>
      <c r="E10" s="358">
        <v>46854406626</v>
      </c>
      <c r="F10" s="363">
        <v>62984137266</v>
      </c>
      <c r="G10" s="363">
        <v>53844500287</v>
      </c>
      <c r="H10" s="358">
        <v>55818446185</v>
      </c>
      <c r="I10" s="358">
        <v>52186547047</v>
      </c>
      <c r="J10" s="358"/>
      <c r="K10" s="358"/>
      <c r="L10" s="358">
        <f>F10+D10+H10</f>
        <v>173386697367</v>
      </c>
      <c r="M10" s="358">
        <f>G10+E10+I10</f>
        <v>152885453960</v>
      </c>
      <c r="R10" s="404"/>
      <c r="S10" s="404"/>
    </row>
    <row r="11" spans="1:19" s="191" customFormat="1" ht="24" customHeight="1">
      <c r="A11" s="306" t="s">
        <v>559</v>
      </c>
      <c r="B11" s="364"/>
      <c r="C11" s="365" t="s">
        <v>19</v>
      </c>
      <c r="D11" s="366">
        <v>45936927</v>
      </c>
      <c r="E11" s="366">
        <v>24825000</v>
      </c>
      <c r="F11" s="367">
        <v>291322000</v>
      </c>
      <c r="G11" s="367">
        <v>175832354</v>
      </c>
      <c r="H11" s="366">
        <v>1818182</v>
      </c>
      <c r="I11" s="366">
        <v>546710590</v>
      </c>
      <c r="J11" s="358"/>
      <c r="K11" s="358"/>
      <c r="L11" s="358">
        <f>F11+D11+H11</f>
        <v>339077109</v>
      </c>
      <c r="M11" s="366">
        <f>G11+E11+I11</f>
        <v>747367944</v>
      </c>
      <c r="R11" s="404"/>
      <c r="S11" s="404"/>
    </row>
    <row r="12" spans="1:19" s="191" customFormat="1" ht="24" customHeight="1">
      <c r="A12" s="306" t="s">
        <v>560</v>
      </c>
      <c r="B12" s="368"/>
      <c r="C12" s="365" t="s">
        <v>18</v>
      </c>
      <c r="D12" s="366">
        <v>54538176989</v>
      </c>
      <c r="E12" s="366">
        <v>46829581626</v>
      </c>
      <c r="F12" s="358">
        <f>F10-F11</f>
        <v>62692815266</v>
      </c>
      <c r="G12" s="366">
        <v>53668667933</v>
      </c>
      <c r="H12" s="358">
        <f>H10-H11</f>
        <v>55816628003</v>
      </c>
      <c r="I12" s="358">
        <f>I10-I11</f>
        <v>51639836457</v>
      </c>
      <c r="J12" s="358"/>
      <c r="K12" s="358"/>
      <c r="L12" s="358">
        <f>L10-L11</f>
        <v>173047620258</v>
      </c>
      <c r="M12" s="358">
        <f>M10-M11</f>
        <v>152138086016</v>
      </c>
      <c r="R12" s="404"/>
      <c r="S12" s="404"/>
    </row>
    <row r="13" spans="1:19" s="191" customFormat="1" ht="24" customHeight="1">
      <c r="A13" s="306" t="s">
        <v>561</v>
      </c>
      <c r="B13" s="368"/>
      <c r="C13" s="365" t="s">
        <v>20</v>
      </c>
      <c r="D13" s="366">
        <v>42121814309</v>
      </c>
      <c r="E13" s="366">
        <v>35818162455</v>
      </c>
      <c r="F13" s="367">
        <v>45393840047</v>
      </c>
      <c r="G13" s="367">
        <v>40073332539</v>
      </c>
      <c r="H13" s="366">
        <v>44072768070</v>
      </c>
      <c r="I13" s="366">
        <v>39298251172</v>
      </c>
      <c r="J13" s="358"/>
      <c r="K13" s="358"/>
      <c r="L13" s="358">
        <f>F13+D13+H13</f>
        <v>131588422426</v>
      </c>
      <c r="M13" s="366">
        <f>G13+E13+I13</f>
        <v>115189746166</v>
      </c>
      <c r="R13" s="404"/>
      <c r="S13" s="404"/>
    </row>
    <row r="14" spans="1:18" s="191" customFormat="1" ht="24" customHeight="1">
      <c r="A14" s="306" t="s">
        <v>562</v>
      </c>
      <c r="B14" s="368"/>
      <c r="C14" s="365"/>
      <c r="D14" s="366">
        <v>12416362680</v>
      </c>
      <c r="E14" s="366">
        <v>11011419171</v>
      </c>
      <c r="F14" s="358">
        <f>F12-F13</f>
        <v>17298975219</v>
      </c>
      <c r="G14" s="366">
        <v>13595335394</v>
      </c>
      <c r="H14" s="358">
        <f>H12-H13</f>
        <v>11743859933</v>
      </c>
      <c r="I14" s="358">
        <f>I12-I13</f>
        <v>12341585285</v>
      </c>
      <c r="J14" s="366"/>
      <c r="K14" s="366"/>
      <c r="L14" s="358">
        <f>L12-L13</f>
        <v>41459197832</v>
      </c>
      <c r="M14" s="358">
        <f>M12-M13</f>
        <v>36948339850</v>
      </c>
      <c r="R14" s="404"/>
    </row>
    <row r="15" spans="1:18" s="191" customFormat="1" ht="24" customHeight="1">
      <c r="A15" s="306" t="s">
        <v>563</v>
      </c>
      <c r="B15" s="368"/>
      <c r="C15" s="365" t="s">
        <v>264</v>
      </c>
      <c r="D15" s="366">
        <v>68396314</v>
      </c>
      <c r="E15" s="366">
        <v>64186506</v>
      </c>
      <c r="F15" s="367">
        <v>95915950</v>
      </c>
      <c r="G15" s="367">
        <v>185555442</v>
      </c>
      <c r="H15" s="366">
        <v>89704080</v>
      </c>
      <c r="I15" s="366">
        <v>44712670</v>
      </c>
      <c r="J15" s="358"/>
      <c r="K15" s="358"/>
      <c r="L15" s="358">
        <f aca="true" t="shared" si="0" ref="L15:M19">F15+D15+H15</f>
        <v>254016344</v>
      </c>
      <c r="M15" s="366">
        <f t="shared" si="0"/>
        <v>294454618</v>
      </c>
      <c r="R15" s="404"/>
    </row>
    <row r="16" spans="1:13" s="191" customFormat="1" ht="24" customHeight="1">
      <c r="A16" s="306" t="s">
        <v>564</v>
      </c>
      <c r="B16" s="368"/>
      <c r="C16" s="365" t="s">
        <v>265</v>
      </c>
      <c r="D16" s="366">
        <v>764707785</v>
      </c>
      <c r="E16" s="366">
        <v>845007784</v>
      </c>
      <c r="F16" s="367">
        <v>910897626</v>
      </c>
      <c r="G16" s="367">
        <v>895375705</v>
      </c>
      <c r="H16" s="366">
        <v>1079497461</v>
      </c>
      <c r="I16" s="366">
        <v>1091308521</v>
      </c>
      <c r="J16" s="358"/>
      <c r="K16" s="358"/>
      <c r="L16" s="358">
        <f t="shared" si="0"/>
        <v>2755102872</v>
      </c>
      <c r="M16" s="366">
        <f t="shared" si="0"/>
        <v>2831692010</v>
      </c>
    </row>
    <row r="17" spans="1:13" s="191" customFormat="1" ht="24" customHeight="1">
      <c r="A17" s="369" t="s">
        <v>603</v>
      </c>
      <c r="B17" s="370"/>
      <c r="C17" s="371"/>
      <c r="D17" s="372">
        <v>624097075</v>
      </c>
      <c r="E17" s="372">
        <v>730824404</v>
      </c>
      <c r="F17" s="372">
        <v>848371534</v>
      </c>
      <c r="G17" s="373">
        <v>661065821</v>
      </c>
      <c r="H17" s="372">
        <v>1031202706</v>
      </c>
      <c r="I17" s="372">
        <v>991088864</v>
      </c>
      <c r="J17" s="374"/>
      <c r="K17" s="374"/>
      <c r="L17" s="374">
        <f t="shared" si="0"/>
        <v>2503671315</v>
      </c>
      <c r="M17" s="372">
        <f t="shared" si="0"/>
        <v>2382979089</v>
      </c>
    </row>
    <row r="18" spans="1:13" s="191" customFormat="1" ht="24" customHeight="1">
      <c r="A18" s="306" t="s">
        <v>565</v>
      </c>
      <c r="B18" s="368"/>
      <c r="C18" s="365" t="s">
        <v>21</v>
      </c>
      <c r="D18" s="366">
        <v>5399465129</v>
      </c>
      <c r="E18" s="366">
        <v>2995817083</v>
      </c>
      <c r="F18" s="367">
        <v>6151368244</v>
      </c>
      <c r="G18" s="367">
        <v>3838984227</v>
      </c>
      <c r="H18" s="366">
        <v>3419084760</v>
      </c>
      <c r="I18" s="366">
        <v>2922754630</v>
      </c>
      <c r="J18" s="358"/>
      <c r="K18" s="358"/>
      <c r="L18" s="358">
        <f t="shared" si="0"/>
        <v>14969918133</v>
      </c>
      <c r="M18" s="366">
        <f t="shared" si="0"/>
        <v>9757555940</v>
      </c>
    </row>
    <row r="19" spans="1:13" s="191" customFormat="1" ht="24" customHeight="1">
      <c r="A19" s="306" t="s">
        <v>566</v>
      </c>
      <c r="B19" s="368"/>
      <c r="C19" s="365" t="s">
        <v>22</v>
      </c>
      <c r="D19" s="366">
        <v>3133031723</v>
      </c>
      <c r="E19" s="366">
        <v>4326389532</v>
      </c>
      <c r="F19" s="367">
        <v>6002559461</v>
      </c>
      <c r="G19" s="367">
        <v>5447375438</v>
      </c>
      <c r="H19" s="366">
        <v>4248822690</v>
      </c>
      <c r="I19" s="366">
        <v>5555524645</v>
      </c>
      <c r="J19" s="358"/>
      <c r="K19" s="358"/>
      <c r="L19" s="358">
        <f t="shared" si="0"/>
        <v>13384413874</v>
      </c>
      <c r="M19" s="366">
        <f t="shared" si="0"/>
        <v>15329289615</v>
      </c>
    </row>
    <row r="20" spans="1:13" s="191" customFormat="1" ht="24" customHeight="1">
      <c r="A20" s="306" t="s">
        <v>567</v>
      </c>
      <c r="B20" s="368"/>
      <c r="C20" s="365"/>
      <c r="D20" s="366">
        <v>3187554357</v>
      </c>
      <c r="E20" s="367">
        <v>2908391278</v>
      </c>
      <c r="F20" s="358">
        <f>F14+F15-F16-F18-F19</f>
        <v>4330065838</v>
      </c>
      <c r="G20" s="367">
        <v>3599155466</v>
      </c>
      <c r="H20" s="358">
        <f>H14+H15-H16-H18-H19</f>
        <v>3086159102</v>
      </c>
      <c r="I20" s="358">
        <f>I14+I15-I16-I18-I19</f>
        <v>2816710159</v>
      </c>
      <c r="J20" s="358"/>
      <c r="K20" s="358"/>
      <c r="L20" s="358">
        <f>L14+L15-L16-L18-L19</f>
        <v>10603779297</v>
      </c>
      <c r="M20" s="358">
        <f>M14+M15-M16-M18-M19</f>
        <v>9324256903</v>
      </c>
    </row>
    <row r="21" spans="1:13" s="191" customFormat="1" ht="24" customHeight="1">
      <c r="A21" s="306" t="s">
        <v>568</v>
      </c>
      <c r="B21" s="368"/>
      <c r="C21" s="365"/>
      <c r="D21" s="366">
        <v>0</v>
      </c>
      <c r="E21" s="367">
        <v>0</v>
      </c>
      <c r="F21" s="367">
        <v>12545788</v>
      </c>
      <c r="G21" s="367">
        <v>3000000</v>
      </c>
      <c r="H21" s="367">
        <v>1818180</v>
      </c>
      <c r="I21" s="367">
        <v>70000000</v>
      </c>
      <c r="J21" s="363"/>
      <c r="K21" s="363"/>
      <c r="L21" s="358">
        <f>F21+D21+H21</f>
        <v>14363968</v>
      </c>
      <c r="M21" s="366">
        <f>G21+E21+I21</f>
        <v>73000000</v>
      </c>
    </row>
    <row r="22" spans="1:13" s="191" customFormat="1" ht="24" customHeight="1">
      <c r="A22" s="306" t="s">
        <v>569</v>
      </c>
      <c r="B22" s="368"/>
      <c r="C22" s="365"/>
      <c r="D22" s="366">
        <v>4908614</v>
      </c>
      <c r="E22" s="367">
        <v>11364000</v>
      </c>
      <c r="F22" s="367">
        <v>229257376</v>
      </c>
      <c r="G22" s="367">
        <v>0</v>
      </c>
      <c r="H22" s="367">
        <v>61384064</v>
      </c>
      <c r="I22" s="367"/>
      <c r="J22" s="363"/>
      <c r="K22" s="363"/>
      <c r="L22" s="358">
        <f>F22+D22+H22</f>
        <v>295550054</v>
      </c>
      <c r="M22" s="366">
        <f>G22+E22+I22</f>
        <v>11364000</v>
      </c>
    </row>
    <row r="23" spans="1:13" s="191" customFormat="1" ht="24" customHeight="1">
      <c r="A23" s="306" t="s">
        <v>570</v>
      </c>
      <c r="B23" s="368"/>
      <c r="C23" s="365"/>
      <c r="D23" s="375">
        <v>-4908614</v>
      </c>
      <c r="E23" s="375">
        <v>-11364000</v>
      </c>
      <c r="F23" s="375">
        <v>-216711588</v>
      </c>
      <c r="G23" s="375">
        <v>3000000</v>
      </c>
      <c r="H23" s="375">
        <f>H21-H22</f>
        <v>-59565884</v>
      </c>
      <c r="I23" s="375">
        <f>I21-I22</f>
        <v>70000000</v>
      </c>
      <c r="J23" s="375"/>
      <c r="K23" s="375"/>
      <c r="L23" s="375">
        <f>L21-L22</f>
        <v>-281186086</v>
      </c>
      <c r="M23" s="375">
        <f>M21-M22</f>
        <v>61636000</v>
      </c>
    </row>
    <row r="24" spans="1:15" s="191" customFormat="1" ht="24" customHeight="1">
      <c r="A24" s="306" t="s">
        <v>571</v>
      </c>
      <c r="B24" s="368"/>
      <c r="C24" s="365"/>
      <c r="D24" s="366">
        <v>3182645743</v>
      </c>
      <c r="E24" s="367">
        <v>2897027278</v>
      </c>
      <c r="F24" s="358">
        <f>F20+F23</f>
        <v>4113354250</v>
      </c>
      <c r="G24" s="367">
        <v>3602155466</v>
      </c>
      <c r="H24" s="358">
        <f>H20+H23</f>
        <v>3026593218</v>
      </c>
      <c r="I24" s="358">
        <f>I20+I23</f>
        <v>2886710159</v>
      </c>
      <c r="J24" s="358"/>
      <c r="K24" s="358"/>
      <c r="L24" s="358">
        <f>L20+L23</f>
        <v>10322593211</v>
      </c>
      <c r="M24" s="358">
        <f>M20+M23</f>
        <v>9385892903</v>
      </c>
      <c r="O24" s="276"/>
    </row>
    <row r="25" spans="1:13" s="191" customFormat="1" ht="24" customHeight="1">
      <c r="A25" s="306" t="s">
        <v>572</v>
      </c>
      <c r="B25" s="368"/>
      <c r="C25" s="365"/>
      <c r="D25" s="366">
        <v>700182063</v>
      </c>
      <c r="E25" s="366">
        <v>724256820</v>
      </c>
      <c r="F25" s="366">
        <v>801869753</v>
      </c>
      <c r="G25" s="367">
        <v>900538866.5</v>
      </c>
      <c r="H25" s="366">
        <v>665850508</v>
      </c>
      <c r="I25" s="366">
        <v>721677540</v>
      </c>
      <c r="J25" s="358"/>
      <c r="K25" s="358"/>
      <c r="L25" s="358">
        <f>F25+D25+H25</f>
        <v>2167902324</v>
      </c>
      <c r="M25" s="366">
        <f>G25+E25+I25</f>
        <v>2346473226.5</v>
      </c>
    </row>
    <row r="26" spans="1:13" s="191" customFormat="1" ht="24" customHeight="1">
      <c r="A26" s="306" t="s">
        <v>573</v>
      </c>
      <c r="B26" s="368"/>
      <c r="C26" s="365"/>
      <c r="D26" s="375">
        <v>0</v>
      </c>
      <c r="E26" s="367">
        <v>0</v>
      </c>
      <c r="F26" s="367">
        <v>103068182</v>
      </c>
      <c r="G26" s="367"/>
      <c r="H26" s="367"/>
      <c r="I26" s="367">
        <v>41022727</v>
      </c>
      <c r="J26" s="363"/>
      <c r="K26" s="363"/>
      <c r="L26" s="358">
        <f>F26+D26+H26</f>
        <v>103068182</v>
      </c>
      <c r="M26" s="366">
        <f>G26+E26+I26</f>
        <v>41022727</v>
      </c>
    </row>
    <row r="27" spans="1:15" s="191" customFormat="1" ht="24" customHeight="1">
      <c r="A27" s="306" t="s">
        <v>574</v>
      </c>
      <c r="B27" s="368"/>
      <c r="C27" s="365"/>
      <c r="D27" s="366">
        <v>2482463680</v>
      </c>
      <c r="E27" s="366">
        <v>2172770458</v>
      </c>
      <c r="F27" s="366">
        <f>F24-F25-F26</f>
        <v>3208416315</v>
      </c>
      <c r="G27" s="366">
        <v>2701616599</v>
      </c>
      <c r="H27" s="366">
        <f>H24-H25-H26</f>
        <v>2360742710</v>
      </c>
      <c r="I27" s="366">
        <f>I24-I25-I26</f>
        <v>2124009892</v>
      </c>
      <c r="J27" s="358"/>
      <c r="K27" s="358"/>
      <c r="L27" s="358">
        <f>L24-L25-L26</f>
        <v>8051622705</v>
      </c>
      <c r="M27" s="358">
        <v>6998396949</v>
      </c>
      <c r="O27" s="276"/>
    </row>
    <row r="28" spans="1:13" s="191" customFormat="1" ht="24" customHeight="1">
      <c r="A28" s="306" t="s">
        <v>575</v>
      </c>
      <c r="B28" s="368"/>
      <c r="C28" s="365"/>
      <c r="D28" s="366">
        <v>899.8737366059129</v>
      </c>
      <c r="E28" s="365">
        <v>787.6123573593168</v>
      </c>
      <c r="F28" s="366">
        <f>F27/2758680</f>
        <v>1163.0259091304538</v>
      </c>
      <c r="G28" s="366">
        <v>979.3149618658199</v>
      </c>
      <c r="H28" s="366">
        <f>H27/2758680</f>
        <v>855.7508337320747</v>
      </c>
      <c r="I28" s="366">
        <f>I27/2758680</f>
        <v>769.9370322038076</v>
      </c>
      <c r="J28" s="366"/>
      <c r="K28" s="366"/>
      <c r="L28" s="366">
        <f>L27/2758680</f>
        <v>2918.650479577189</v>
      </c>
      <c r="M28" s="366">
        <f>M27/2758680</f>
        <v>2536.8643514289442</v>
      </c>
    </row>
    <row r="29" spans="1:13" s="191" customFormat="1" ht="24" customHeight="1">
      <c r="A29" s="376" t="s">
        <v>576</v>
      </c>
      <c r="B29" s="377"/>
      <c r="C29" s="378"/>
      <c r="D29" s="379">
        <v>500</v>
      </c>
      <c r="E29" s="378">
        <v>500</v>
      </c>
      <c r="F29" s="379">
        <v>500</v>
      </c>
      <c r="G29" s="379">
        <v>500</v>
      </c>
      <c r="H29" s="379">
        <v>500</v>
      </c>
      <c r="I29" s="379">
        <v>500</v>
      </c>
      <c r="J29" s="379"/>
      <c r="K29" s="379"/>
      <c r="L29" s="379">
        <v>1500</v>
      </c>
      <c r="M29" s="379">
        <v>1500</v>
      </c>
    </row>
    <row r="30" spans="1:11" s="195" customFormat="1" ht="12.75" customHeight="1">
      <c r="A30" s="192"/>
      <c r="B30" s="193"/>
      <c r="C30" s="193"/>
      <c r="D30" s="194"/>
      <c r="E30" s="194"/>
      <c r="F30" s="192"/>
      <c r="G30" s="192"/>
      <c r="H30" s="192"/>
      <c r="I30" s="192"/>
      <c r="J30" s="192"/>
      <c r="K30" s="192"/>
    </row>
    <row r="31" spans="1:13" s="195" customFormat="1" ht="23.25" customHeight="1">
      <c r="A31" s="196"/>
      <c r="B31" s="195" t="s">
        <v>557</v>
      </c>
      <c r="C31" s="198"/>
      <c r="D31" s="269"/>
      <c r="E31" s="269"/>
      <c r="F31" s="269"/>
      <c r="G31" s="435" t="s">
        <v>698</v>
      </c>
      <c r="H31" s="435"/>
      <c r="I31" s="435"/>
      <c r="J31" s="435"/>
      <c r="K31" s="435"/>
      <c r="L31" s="435"/>
      <c r="M31" s="435"/>
    </row>
    <row r="32" spans="1:12" s="34" customFormat="1" ht="15.75" customHeight="1">
      <c r="A32" s="190" t="s">
        <v>605</v>
      </c>
      <c r="B32" s="190"/>
      <c r="C32" s="190"/>
      <c r="D32" s="190"/>
      <c r="E32" s="190"/>
      <c r="F32" s="268"/>
      <c r="G32" s="254"/>
      <c r="H32" s="254"/>
      <c r="I32" s="254"/>
      <c r="J32" s="254"/>
      <c r="K32" s="254"/>
      <c r="L32" s="268"/>
    </row>
    <row r="33" spans="1:11" s="34" customFormat="1" ht="15" customHeight="1">
      <c r="A33" s="176"/>
      <c r="B33" s="177"/>
      <c r="C33" s="177"/>
      <c r="D33" s="16"/>
      <c r="E33" s="16"/>
      <c r="H33" s="432"/>
      <c r="I33" s="432"/>
      <c r="J33" s="16"/>
      <c r="K33" s="16"/>
    </row>
    <row r="34" spans="1:5" s="34" customFormat="1" ht="12.75" customHeight="1">
      <c r="A34" s="178"/>
      <c r="B34" s="174"/>
      <c r="C34" s="174"/>
      <c r="D34" s="111"/>
      <c r="E34" s="111"/>
    </row>
    <row r="35" spans="1:5" ht="15.75">
      <c r="A35" s="178"/>
      <c r="B35" s="174"/>
      <c r="C35" s="174"/>
      <c r="D35" s="111"/>
      <c r="E35" s="111"/>
    </row>
    <row r="36" spans="1:5" ht="15.75">
      <c r="A36" s="178"/>
      <c r="B36" s="174"/>
      <c r="C36" s="174"/>
      <c r="D36" s="111"/>
      <c r="E36" s="111"/>
    </row>
    <row r="37" spans="1:5" ht="15" customHeight="1">
      <c r="A37" s="178"/>
      <c r="B37" s="174"/>
      <c r="C37" s="174"/>
      <c r="D37" s="111"/>
      <c r="E37" s="111"/>
    </row>
    <row r="38" spans="1:12" ht="13.5" customHeight="1">
      <c r="A38" s="215" t="s">
        <v>606</v>
      </c>
      <c r="B38" s="215"/>
      <c r="C38" s="215"/>
      <c r="D38" s="215"/>
      <c r="E38" s="215"/>
      <c r="L38" s="266"/>
    </row>
    <row r="39" spans="1:12" ht="15.75">
      <c r="A39" s="431"/>
      <c r="B39" s="431"/>
      <c r="C39" s="431"/>
      <c r="D39" s="431"/>
      <c r="E39" s="266"/>
      <c r="F39" s="266"/>
      <c r="G39" s="266"/>
      <c r="H39" s="266"/>
      <c r="I39" s="266"/>
      <c r="J39" s="266"/>
      <c r="K39" s="266"/>
      <c r="L39" s="266"/>
    </row>
    <row r="40" spans="1:11" ht="15.75">
      <c r="A40" s="116"/>
      <c r="D40" s="431"/>
      <c r="E40" s="431"/>
      <c r="F40" s="431"/>
      <c r="G40" s="431"/>
      <c r="H40" s="431"/>
      <c r="I40" s="431"/>
      <c r="J40" s="266"/>
      <c r="K40" s="266"/>
    </row>
  </sheetData>
  <sheetProtection/>
  <mergeCells count="16">
    <mergeCell ref="D40:I40"/>
    <mergeCell ref="H33:I33"/>
    <mergeCell ref="F8:G8"/>
    <mergeCell ref="H8:I8"/>
    <mergeCell ref="D8:E8"/>
    <mergeCell ref="A39:D39"/>
    <mergeCell ref="G31:M31"/>
    <mergeCell ref="A2:I2"/>
    <mergeCell ref="L8:M8"/>
    <mergeCell ref="L2:M2"/>
    <mergeCell ref="A5:M5"/>
    <mergeCell ref="A6:M6"/>
    <mergeCell ref="C8:C9"/>
    <mergeCell ref="J8:K8"/>
    <mergeCell ref="A8:A9"/>
    <mergeCell ref="B8:B9"/>
  </mergeCells>
  <printOptions/>
  <pageMargins left="0.84" right="0.31" top="0.33" bottom="0.19" header="0.17" footer="0.1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3"/>
  <sheetViews>
    <sheetView workbookViewId="0" topLeftCell="A306">
      <selection activeCell="A384" sqref="A1:IV16384"/>
    </sheetView>
  </sheetViews>
  <sheetFormatPr defaultColWidth="16.75390625" defaultRowHeight="21.75" customHeight="1"/>
  <cols>
    <col min="1" max="1" width="5.125" style="2" customWidth="1"/>
    <col min="2" max="2" width="50.875" style="2" customWidth="1"/>
    <col min="3" max="4" width="24.00390625" style="2" customWidth="1"/>
    <col min="5" max="5" width="8.00390625" style="2" customWidth="1"/>
    <col min="6" max="7" width="13.875" style="2" customWidth="1"/>
    <col min="8" max="8" width="8.00390625" style="2" customWidth="1"/>
    <col min="9" max="9" width="12.00390625" style="2" customWidth="1"/>
    <col min="10" max="10" width="18.875" style="6" customWidth="1"/>
    <col min="11" max="11" width="5.00390625" style="2" customWidth="1"/>
    <col min="12" max="12" width="15.875" style="2" customWidth="1"/>
    <col min="13" max="13" width="7.625" style="2" customWidth="1"/>
    <col min="14" max="14" width="7.125" style="2" customWidth="1"/>
    <col min="15" max="15" width="7.75390625" style="2" customWidth="1"/>
    <col min="16" max="16" width="5.00390625" style="2" customWidth="1"/>
    <col min="17" max="17" width="4.75390625" style="2" customWidth="1"/>
    <col min="18" max="16384" width="16.75390625" style="2" customWidth="1"/>
  </cols>
  <sheetData>
    <row r="1" spans="1:10" ht="21" customHeight="1">
      <c r="A1" s="420" t="s">
        <v>345</v>
      </c>
      <c r="B1" s="420"/>
      <c r="C1" s="420"/>
      <c r="D1" s="420"/>
      <c r="E1" s="244" t="s">
        <v>346</v>
      </c>
      <c r="F1" s="263"/>
      <c r="J1" s="231"/>
    </row>
    <row r="2" spans="1:10" ht="15" customHeight="1">
      <c r="A2" s="121" t="s">
        <v>363</v>
      </c>
      <c r="B2" s="36"/>
      <c r="D2" s="118"/>
      <c r="E2" s="255" t="s">
        <v>364</v>
      </c>
      <c r="F2" s="264"/>
      <c r="J2" s="231"/>
    </row>
    <row r="3" spans="1:10" ht="15">
      <c r="A3" s="262" t="s">
        <v>611</v>
      </c>
      <c r="B3" s="125"/>
      <c r="C3" s="37"/>
      <c r="D3" s="119"/>
      <c r="E3" s="242" t="s">
        <v>347</v>
      </c>
      <c r="F3" s="264"/>
      <c r="J3" s="231"/>
    </row>
    <row r="4" spans="1:6" ht="19.5">
      <c r="A4" s="112"/>
      <c r="B4" s="113"/>
      <c r="C4" s="7"/>
      <c r="D4" s="114"/>
      <c r="E4" s="7"/>
      <c r="F4" s="7"/>
    </row>
    <row r="5" spans="1:6" ht="24.75">
      <c r="A5" s="438" t="s">
        <v>139</v>
      </c>
      <c r="B5" s="438"/>
      <c r="C5" s="438"/>
      <c r="D5" s="438"/>
      <c r="E5" s="438"/>
      <c r="F5" s="7"/>
    </row>
    <row r="6" spans="1:5" ht="15.75">
      <c r="A6" s="431" t="s">
        <v>681</v>
      </c>
      <c r="B6" s="431"/>
      <c r="C6" s="431"/>
      <c r="D6" s="431"/>
      <c r="E6" s="431"/>
    </row>
    <row r="7" spans="3:7" ht="15.75">
      <c r="C7" s="8"/>
      <c r="G7" s="24"/>
    </row>
    <row r="8" spans="1:5" ht="15.75">
      <c r="A8" s="281" t="s">
        <v>397</v>
      </c>
      <c r="B8" s="281"/>
      <c r="C8" s="282"/>
      <c r="D8" s="282"/>
      <c r="E8" s="282"/>
    </row>
    <row r="9" spans="1:10" ht="15.75">
      <c r="A9" s="284" t="s">
        <v>586</v>
      </c>
      <c r="B9" s="284"/>
      <c r="C9" s="282"/>
      <c r="D9" s="282"/>
      <c r="E9" s="282"/>
      <c r="J9" s="2"/>
    </row>
    <row r="10" spans="1:10" ht="15.75">
      <c r="A10" s="284" t="s">
        <v>587</v>
      </c>
      <c r="B10" s="284"/>
      <c r="C10" s="282"/>
      <c r="D10" s="282"/>
      <c r="E10" s="282"/>
      <c r="J10" s="2"/>
    </row>
    <row r="11" spans="1:10" ht="15.75">
      <c r="A11" s="284" t="s">
        <v>588</v>
      </c>
      <c r="B11" s="284"/>
      <c r="C11" s="282"/>
      <c r="D11" s="282"/>
      <c r="E11" s="282"/>
      <c r="J11" s="2"/>
    </row>
    <row r="12" spans="1:5" ht="15.75">
      <c r="A12" s="284" t="s">
        <v>585</v>
      </c>
      <c r="B12" s="283"/>
      <c r="C12" s="282"/>
      <c r="D12" s="282"/>
      <c r="E12" s="282"/>
    </row>
    <row r="13" spans="1:5" ht="15.75">
      <c r="A13" s="284" t="s">
        <v>589</v>
      </c>
      <c r="B13" s="283"/>
      <c r="C13" s="282"/>
      <c r="D13" s="282"/>
      <c r="E13" s="282"/>
    </row>
    <row r="14" spans="1:5" ht="15.75">
      <c r="A14" s="284" t="s">
        <v>398</v>
      </c>
      <c r="B14" s="283"/>
      <c r="C14" s="282"/>
      <c r="D14" s="282"/>
      <c r="E14" s="282"/>
    </row>
    <row r="15" spans="1:5" ht="15.75">
      <c r="A15" s="284" t="s">
        <v>399</v>
      </c>
      <c r="B15" s="284"/>
      <c r="C15" s="282"/>
      <c r="D15" s="282"/>
      <c r="E15" s="282"/>
    </row>
    <row r="16" spans="1:5" ht="15.75">
      <c r="A16" s="283" t="s">
        <v>400</v>
      </c>
      <c r="B16" s="284"/>
      <c r="C16" s="282"/>
      <c r="D16" s="282"/>
      <c r="E16" s="282"/>
    </row>
    <row r="17" spans="1:5" ht="15.75">
      <c r="A17" s="281" t="s">
        <v>401</v>
      </c>
      <c r="B17" s="281"/>
      <c r="C17" s="282"/>
      <c r="D17" s="282"/>
      <c r="E17" s="282"/>
    </row>
    <row r="18" spans="1:5" ht="15.75">
      <c r="A18" s="284" t="s">
        <v>402</v>
      </c>
      <c r="B18" s="284"/>
      <c r="C18" s="282"/>
      <c r="D18" s="282"/>
      <c r="E18" s="282"/>
    </row>
    <row r="19" spans="1:5" ht="15.75">
      <c r="A19" s="284" t="s">
        <v>403</v>
      </c>
      <c r="B19" s="284"/>
      <c r="C19" s="282"/>
      <c r="D19" s="282"/>
      <c r="E19" s="282"/>
    </row>
    <row r="20" spans="1:5" ht="15.75">
      <c r="A20" s="281" t="s">
        <v>404</v>
      </c>
      <c r="B20" s="281"/>
      <c r="C20" s="282"/>
      <c r="D20" s="282"/>
      <c r="E20" s="282"/>
    </row>
    <row r="21" spans="1:5" ht="15.75">
      <c r="A21" s="283" t="s">
        <v>608</v>
      </c>
      <c r="B21" s="284"/>
      <c r="C21" s="282"/>
      <c r="D21" s="282"/>
      <c r="E21" s="282"/>
    </row>
    <row r="22" spans="1:5" ht="15.75">
      <c r="A22" s="284" t="s">
        <v>609</v>
      </c>
      <c r="B22" s="284"/>
      <c r="C22" s="282"/>
      <c r="D22" s="282"/>
      <c r="E22" s="282"/>
    </row>
    <row r="23" spans="1:5" ht="15.75">
      <c r="A23" s="284" t="s">
        <v>405</v>
      </c>
      <c r="B23" s="284"/>
      <c r="C23" s="282"/>
      <c r="D23" s="282"/>
      <c r="E23" s="282"/>
    </row>
    <row r="24" spans="1:5" ht="15.75">
      <c r="A24" s="283" t="s">
        <v>406</v>
      </c>
      <c r="B24" s="284"/>
      <c r="C24" s="282"/>
      <c r="D24" s="282"/>
      <c r="E24" s="282"/>
    </row>
    <row r="25" spans="1:5" ht="15.75">
      <c r="A25" s="284" t="s">
        <v>407</v>
      </c>
      <c r="B25" s="284"/>
      <c r="C25" s="282"/>
      <c r="D25" s="282"/>
      <c r="E25" s="282"/>
    </row>
    <row r="26" spans="1:5" ht="15.75">
      <c r="A26" s="283" t="s">
        <v>408</v>
      </c>
      <c r="B26" s="284"/>
      <c r="C26" s="282"/>
      <c r="D26" s="282"/>
      <c r="E26" s="282"/>
    </row>
    <row r="27" spans="1:5" ht="15.75">
      <c r="A27" s="281" t="s">
        <v>409</v>
      </c>
      <c r="B27" s="281"/>
      <c r="C27" s="282"/>
      <c r="D27" s="282"/>
      <c r="E27" s="282"/>
    </row>
    <row r="28" spans="1:5" ht="15.75">
      <c r="A28" s="281" t="s">
        <v>410</v>
      </c>
      <c r="B28" s="281"/>
      <c r="C28" s="282"/>
      <c r="D28" s="282"/>
      <c r="E28" s="282"/>
    </row>
    <row r="29" spans="1:5" ht="15.75">
      <c r="A29" s="286" t="s">
        <v>411</v>
      </c>
      <c r="B29" s="286"/>
      <c r="C29" s="282"/>
      <c r="D29" s="282"/>
      <c r="E29" s="282"/>
    </row>
    <row r="30" spans="1:5" ht="15.75">
      <c r="A30" s="286" t="s">
        <v>412</v>
      </c>
      <c r="B30" s="286"/>
      <c r="C30" s="282"/>
      <c r="D30" s="282"/>
      <c r="E30" s="282"/>
    </row>
    <row r="31" spans="1:5" ht="15.75">
      <c r="A31" s="284" t="s">
        <v>413</v>
      </c>
      <c r="B31" s="284"/>
      <c r="C31" s="282"/>
      <c r="D31" s="282"/>
      <c r="E31" s="282"/>
    </row>
    <row r="32" spans="1:5" ht="15.75">
      <c r="A32" s="284" t="s">
        <v>414</v>
      </c>
      <c r="B32" s="284"/>
      <c r="C32" s="282"/>
      <c r="D32" s="282"/>
      <c r="E32" s="282"/>
    </row>
    <row r="33" spans="1:5" ht="15.75">
      <c r="A33" s="284" t="s">
        <v>705</v>
      </c>
      <c r="B33" s="284"/>
      <c r="C33" s="282"/>
      <c r="D33" s="282"/>
      <c r="E33" s="282"/>
    </row>
    <row r="34" spans="1:5" ht="15.75">
      <c r="A34" s="284" t="s">
        <v>706</v>
      </c>
      <c r="B34" s="284"/>
      <c r="C34" s="282"/>
      <c r="D34" s="282"/>
      <c r="E34" s="282"/>
    </row>
    <row r="35" spans="1:5" ht="15.75">
      <c r="A35" s="281" t="s">
        <v>415</v>
      </c>
      <c r="B35" s="281"/>
      <c r="C35" s="282"/>
      <c r="D35" s="282"/>
      <c r="E35" s="282"/>
    </row>
    <row r="36" spans="1:5" ht="15.75">
      <c r="A36" s="282" t="s">
        <v>590</v>
      </c>
      <c r="B36" s="285"/>
      <c r="C36" s="282"/>
      <c r="D36" s="282"/>
      <c r="E36" s="282"/>
    </row>
    <row r="37" spans="1:5" ht="15.75">
      <c r="A37" s="284" t="s">
        <v>416</v>
      </c>
      <c r="B37" s="285"/>
      <c r="C37" s="282"/>
      <c r="D37" s="282"/>
      <c r="E37" s="282"/>
    </row>
    <row r="38" spans="1:5" ht="15.75">
      <c r="A38" s="284" t="s">
        <v>417</v>
      </c>
      <c r="B38" s="285"/>
      <c r="C38" s="282"/>
      <c r="D38" s="282"/>
      <c r="E38" s="282"/>
    </row>
    <row r="39" spans="1:5" ht="15.75">
      <c r="A39" s="284" t="s">
        <v>418</v>
      </c>
      <c r="B39" s="285"/>
      <c r="C39" s="282"/>
      <c r="D39" s="282"/>
      <c r="E39" s="282"/>
    </row>
    <row r="40" spans="1:5" ht="15.75">
      <c r="A40" s="282" t="s">
        <v>591</v>
      </c>
      <c r="B40" s="285"/>
      <c r="C40" s="282"/>
      <c r="D40" s="282"/>
      <c r="E40" s="282"/>
    </row>
    <row r="41" spans="1:5" ht="15.75">
      <c r="A41" s="282" t="s">
        <v>592</v>
      </c>
      <c r="B41" s="285"/>
      <c r="C41" s="282"/>
      <c r="D41" s="282"/>
      <c r="E41" s="282"/>
    </row>
    <row r="42" spans="1:5" ht="15.75">
      <c r="A42" s="287" t="s">
        <v>419</v>
      </c>
      <c r="B42" s="288"/>
      <c r="C42" s="287"/>
      <c r="D42" s="287"/>
      <c r="E42" s="282"/>
    </row>
    <row r="43" spans="1:5" ht="15.75">
      <c r="A43" s="289" t="s">
        <v>420</v>
      </c>
      <c r="B43" s="288"/>
      <c r="C43" s="287"/>
      <c r="D43" s="287"/>
      <c r="E43" s="282"/>
    </row>
    <row r="44" spans="1:5" ht="15.75">
      <c r="A44" s="289" t="s">
        <v>421</v>
      </c>
      <c r="B44" s="288"/>
      <c r="C44" s="287"/>
      <c r="D44" s="287"/>
      <c r="E44" s="282"/>
    </row>
    <row r="45" spans="1:5" ht="15.75">
      <c r="A45" s="290" t="s">
        <v>422</v>
      </c>
      <c r="B45" s="290"/>
      <c r="C45" s="291"/>
      <c r="D45" s="291"/>
      <c r="E45" s="282"/>
    </row>
    <row r="46" spans="1:5" ht="15.75">
      <c r="A46" s="292" t="s">
        <v>707</v>
      </c>
      <c r="B46" s="293"/>
      <c r="C46" s="291"/>
      <c r="D46" s="291"/>
      <c r="E46" s="282"/>
    </row>
    <row r="47" spans="1:5" ht="15.75">
      <c r="A47" s="294" t="s">
        <v>423</v>
      </c>
      <c r="B47" s="293"/>
      <c r="C47" s="291"/>
      <c r="D47" s="291"/>
      <c r="E47" s="282"/>
    </row>
    <row r="48" spans="1:5" ht="15.75">
      <c r="A48" s="292" t="s">
        <v>424</v>
      </c>
      <c r="B48" s="293"/>
      <c r="C48" s="291"/>
      <c r="D48" s="291"/>
      <c r="E48" s="282"/>
    </row>
    <row r="49" spans="1:5" s="296" customFormat="1" ht="15.75">
      <c r="A49" s="439" t="s">
        <v>425</v>
      </c>
      <c r="B49" s="439"/>
      <c r="C49" s="439"/>
      <c r="D49" s="439"/>
      <c r="E49" s="439"/>
    </row>
    <row r="50" spans="1:5" ht="15.75">
      <c r="A50" s="294" t="s">
        <v>521</v>
      </c>
      <c r="B50" s="294"/>
      <c r="C50" s="291"/>
      <c r="D50" s="291"/>
      <c r="E50" s="282"/>
    </row>
    <row r="51" spans="1:5" ht="15.75" customHeight="1">
      <c r="A51" s="294" t="s">
        <v>426</v>
      </c>
      <c r="B51" s="294"/>
      <c r="C51" s="291"/>
      <c r="D51" s="291"/>
      <c r="E51" s="282"/>
    </row>
    <row r="52" spans="1:5" ht="15.75" customHeight="1">
      <c r="A52" s="294" t="s">
        <v>427</v>
      </c>
      <c r="B52" s="329"/>
      <c r="C52" s="329"/>
      <c r="D52" s="291" t="s">
        <v>428</v>
      </c>
      <c r="E52" s="282"/>
    </row>
    <row r="53" spans="1:5" ht="15.75" customHeight="1">
      <c r="A53" s="294" t="s">
        <v>429</v>
      </c>
      <c r="B53" s="294"/>
      <c r="D53" s="291" t="s">
        <v>430</v>
      </c>
      <c r="E53" s="282"/>
    </row>
    <row r="54" spans="1:5" ht="15.75" customHeight="1">
      <c r="A54" s="294" t="s">
        <v>431</v>
      </c>
      <c r="B54" s="294"/>
      <c r="D54" s="291" t="s">
        <v>430</v>
      </c>
      <c r="E54" s="282"/>
    </row>
    <row r="55" spans="1:8" ht="15.75" customHeight="1">
      <c r="A55" s="294" t="s">
        <v>432</v>
      </c>
      <c r="B55" s="294"/>
      <c r="D55" s="291" t="s">
        <v>433</v>
      </c>
      <c r="E55" s="291"/>
      <c r="F55" s="42"/>
      <c r="G55" s="42"/>
      <c r="H55" s="7"/>
    </row>
    <row r="56" spans="1:8" ht="15.75" customHeight="1">
      <c r="A56" s="292" t="s">
        <v>434</v>
      </c>
      <c r="B56" s="293"/>
      <c r="C56" s="291"/>
      <c r="D56" s="291"/>
      <c r="E56" s="291"/>
      <c r="F56" s="42"/>
      <c r="G56" s="42"/>
      <c r="H56" s="7"/>
    </row>
    <row r="57" spans="1:8" ht="15.75" customHeight="1">
      <c r="A57" s="284" t="s">
        <v>593</v>
      </c>
      <c r="B57" s="294"/>
      <c r="C57" s="291"/>
      <c r="D57" s="291"/>
      <c r="E57" s="291"/>
      <c r="F57" s="42"/>
      <c r="G57" s="42"/>
      <c r="H57" s="7"/>
    </row>
    <row r="58" spans="1:8" ht="15.75" customHeight="1">
      <c r="A58" s="284" t="s">
        <v>435</v>
      </c>
      <c r="B58" s="295"/>
      <c r="C58" s="291"/>
      <c r="D58" s="291"/>
      <c r="E58" s="291"/>
      <c r="F58" s="42"/>
      <c r="G58" s="42"/>
      <c r="H58" s="7"/>
    </row>
    <row r="59" spans="1:8" ht="15.75" customHeight="1">
      <c r="A59" s="282"/>
      <c r="B59" s="294" t="s">
        <v>436</v>
      </c>
      <c r="C59" s="291"/>
      <c r="D59" s="291"/>
      <c r="E59" s="291"/>
      <c r="F59" s="42"/>
      <c r="G59" s="42"/>
      <c r="H59" s="7"/>
    </row>
    <row r="60" spans="1:8" ht="15.75" customHeight="1">
      <c r="A60" s="282"/>
      <c r="B60" s="295" t="s">
        <v>437</v>
      </c>
      <c r="C60" s="291"/>
      <c r="D60" s="291"/>
      <c r="E60" s="291"/>
      <c r="F60" s="42"/>
      <c r="G60" s="42"/>
      <c r="H60" s="7"/>
    </row>
    <row r="61" spans="1:8" ht="15.75" customHeight="1">
      <c r="A61" s="282"/>
      <c r="B61" s="294" t="s">
        <v>438</v>
      </c>
      <c r="C61" s="291"/>
      <c r="D61" s="291"/>
      <c r="E61" s="291"/>
      <c r="F61" s="42"/>
      <c r="G61" s="42"/>
      <c r="H61" s="7"/>
    </row>
    <row r="62" spans="1:8" ht="15.75" customHeight="1">
      <c r="A62" s="292"/>
      <c r="B62" s="295" t="s">
        <v>439</v>
      </c>
      <c r="C62" s="291"/>
      <c r="D62" s="291"/>
      <c r="E62" s="291"/>
      <c r="F62" s="42"/>
      <c r="G62" s="42"/>
      <c r="H62" s="7"/>
    </row>
    <row r="63" spans="1:8" ht="15.75" customHeight="1">
      <c r="A63" s="282" t="s">
        <v>440</v>
      </c>
      <c r="B63" s="294"/>
      <c r="C63" s="291"/>
      <c r="D63" s="291"/>
      <c r="E63" s="291"/>
      <c r="F63" s="42"/>
      <c r="G63" s="42"/>
      <c r="H63" s="7"/>
    </row>
    <row r="64" spans="1:8" ht="15.75" customHeight="1">
      <c r="A64" s="282"/>
      <c r="B64" s="294" t="s">
        <v>441</v>
      </c>
      <c r="C64" s="291"/>
      <c r="D64" s="291"/>
      <c r="E64" s="291"/>
      <c r="F64" s="42"/>
      <c r="G64" s="42"/>
      <c r="H64" s="7"/>
    </row>
    <row r="65" spans="1:8" ht="15.75" customHeight="1">
      <c r="A65" s="283"/>
      <c r="B65" s="284" t="s">
        <v>442</v>
      </c>
      <c r="C65" s="282"/>
      <c r="D65" s="282"/>
      <c r="E65" s="291"/>
      <c r="F65" s="42"/>
      <c r="G65" s="42"/>
      <c r="H65" s="7"/>
    </row>
    <row r="66" spans="1:8" ht="15.75" customHeight="1">
      <c r="A66" s="283" t="s">
        <v>443</v>
      </c>
      <c r="B66" s="282"/>
      <c r="C66" s="282"/>
      <c r="D66" s="282"/>
      <c r="E66" s="291"/>
      <c r="F66" s="42"/>
      <c r="G66" s="42"/>
      <c r="H66" s="7"/>
    </row>
    <row r="67" spans="1:8" ht="15.75" customHeight="1">
      <c r="A67" s="292" t="s">
        <v>444</v>
      </c>
      <c r="B67" s="293"/>
      <c r="C67" s="291"/>
      <c r="D67" s="291"/>
      <c r="E67" s="291"/>
      <c r="F67" s="42"/>
      <c r="G67" s="42"/>
      <c r="H67" s="7"/>
    </row>
    <row r="68" spans="1:8" ht="15.75" customHeight="1">
      <c r="A68" s="293" t="s">
        <v>445</v>
      </c>
      <c r="B68" s="294"/>
      <c r="C68" s="291"/>
      <c r="D68" s="291"/>
      <c r="E68" s="291"/>
      <c r="F68" s="42"/>
      <c r="G68" s="42"/>
      <c r="H68" s="7"/>
    </row>
    <row r="69" spans="1:8" ht="15.75" customHeight="1">
      <c r="A69" s="293"/>
      <c r="B69" s="294" t="s">
        <v>446</v>
      </c>
      <c r="C69" s="291"/>
      <c r="D69" s="291"/>
      <c r="E69" s="291"/>
      <c r="F69" s="42"/>
      <c r="G69" s="42"/>
      <c r="H69" s="7"/>
    </row>
    <row r="70" spans="1:8" ht="15.75" customHeight="1">
      <c r="A70" s="293"/>
      <c r="B70" s="294" t="s">
        <v>447</v>
      </c>
      <c r="C70" s="291"/>
      <c r="D70" s="291"/>
      <c r="E70" s="291"/>
      <c r="F70" s="42"/>
      <c r="G70" s="42"/>
      <c r="H70" s="7"/>
    </row>
    <row r="71" spans="1:8" ht="15.75" customHeight="1">
      <c r="A71" s="293"/>
      <c r="B71" s="294" t="s">
        <v>448</v>
      </c>
      <c r="C71" s="291"/>
      <c r="D71" s="291"/>
      <c r="E71" s="291"/>
      <c r="F71" s="42"/>
      <c r="G71" s="42"/>
      <c r="H71" s="7"/>
    </row>
    <row r="72" spans="1:8" ht="15.75" customHeight="1">
      <c r="A72" s="292"/>
      <c r="B72" s="295" t="s">
        <v>449</v>
      </c>
      <c r="C72" s="291"/>
      <c r="D72" s="291"/>
      <c r="E72" s="291"/>
      <c r="F72" s="42"/>
      <c r="G72" s="42"/>
      <c r="H72" s="7"/>
    </row>
    <row r="73" spans="1:8" ht="15.75" customHeight="1">
      <c r="A73" s="292" t="s">
        <v>450</v>
      </c>
      <c r="B73" s="294"/>
      <c r="C73" s="291"/>
      <c r="D73" s="291"/>
      <c r="E73" s="291"/>
      <c r="F73" s="42"/>
      <c r="G73" s="42"/>
      <c r="H73" s="7"/>
    </row>
    <row r="74" spans="1:8" ht="15.75" customHeight="1">
      <c r="A74" s="292"/>
      <c r="B74" s="295" t="s">
        <v>451</v>
      </c>
      <c r="C74" s="291"/>
      <c r="D74" s="291"/>
      <c r="E74" s="291"/>
      <c r="F74" s="42"/>
      <c r="G74" s="42"/>
      <c r="H74" s="7"/>
    </row>
    <row r="75" spans="1:8" ht="15.75" customHeight="1">
      <c r="A75" s="292"/>
      <c r="B75" s="294" t="s">
        <v>452</v>
      </c>
      <c r="C75" s="291"/>
      <c r="D75" s="291"/>
      <c r="E75" s="291"/>
      <c r="F75" s="42"/>
      <c r="G75" s="42"/>
      <c r="H75" s="7"/>
    </row>
    <row r="76" spans="1:8" ht="15.75" customHeight="1">
      <c r="A76" s="292"/>
      <c r="B76" s="295" t="s">
        <v>453</v>
      </c>
      <c r="C76" s="291"/>
      <c r="D76" s="291"/>
      <c r="E76" s="291"/>
      <c r="F76" s="42"/>
      <c r="G76" s="42"/>
      <c r="H76" s="7"/>
    </row>
    <row r="77" spans="1:8" ht="15.75" customHeight="1">
      <c r="A77" s="292"/>
      <c r="B77" s="294" t="s">
        <v>454</v>
      </c>
      <c r="C77" s="291"/>
      <c r="D77" s="291"/>
      <c r="E77" s="291"/>
      <c r="F77" s="42"/>
      <c r="G77" s="42"/>
      <c r="H77" s="7"/>
    </row>
    <row r="78" spans="1:8" ht="15.75" customHeight="1">
      <c r="A78" s="292"/>
      <c r="B78" s="295" t="s">
        <v>455</v>
      </c>
      <c r="C78" s="291"/>
      <c r="D78" s="291"/>
      <c r="E78" s="291"/>
      <c r="F78" s="42"/>
      <c r="G78" s="42"/>
      <c r="H78" s="7"/>
    </row>
    <row r="79" spans="1:8" ht="15.75" customHeight="1">
      <c r="A79" s="292"/>
      <c r="B79" s="295" t="s">
        <v>594</v>
      </c>
      <c r="C79" s="291"/>
      <c r="D79" s="291"/>
      <c r="E79" s="291"/>
      <c r="F79" s="42"/>
      <c r="G79" s="42"/>
      <c r="H79" s="7"/>
    </row>
    <row r="80" spans="1:8" ht="15.75" customHeight="1">
      <c r="A80" s="293" t="s">
        <v>456</v>
      </c>
      <c r="B80" s="294"/>
      <c r="C80" s="291"/>
      <c r="D80" s="291"/>
      <c r="E80" s="291"/>
      <c r="F80" s="42"/>
      <c r="G80" s="42"/>
      <c r="H80" s="7"/>
    </row>
    <row r="81" spans="1:8" ht="15.75" customHeight="1">
      <c r="A81" s="293"/>
      <c r="B81" s="295" t="s">
        <v>457</v>
      </c>
      <c r="C81" s="291"/>
      <c r="D81" s="291"/>
      <c r="E81" s="291"/>
      <c r="F81" s="42"/>
      <c r="G81" s="42"/>
      <c r="H81" s="7"/>
    </row>
    <row r="82" spans="1:8" ht="15.75" customHeight="1">
      <c r="A82" s="293"/>
      <c r="B82" s="294" t="s">
        <v>458</v>
      </c>
      <c r="C82" s="291"/>
      <c r="D82" s="291"/>
      <c r="E82" s="291"/>
      <c r="F82" s="42"/>
      <c r="G82" s="42"/>
      <c r="H82" s="7"/>
    </row>
    <row r="83" spans="1:8" ht="15.75" customHeight="1">
      <c r="A83" s="293"/>
      <c r="B83" s="295" t="s">
        <v>459</v>
      </c>
      <c r="C83" s="291"/>
      <c r="D83" s="291"/>
      <c r="E83" s="291"/>
      <c r="F83" s="42"/>
      <c r="G83" s="42"/>
      <c r="H83" s="7"/>
    </row>
    <row r="84" spans="1:8" ht="15.75" customHeight="1">
      <c r="A84" s="293"/>
      <c r="B84" s="294" t="s">
        <v>460</v>
      </c>
      <c r="C84" s="291"/>
      <c r="D84" s="291"/>
      <c r="E84" s="291"/>
      <c r="F84" s="42"/>
      <c r="G84" s="42"/>
      <c r="H84" s="7"/>
    </row>
    <row r="85" spans="1:8" ht="15.75" customHeight="1">
      <c r="A85" s="293"/>
      <c r="B85" s="295" t="s">
        <v>455</v>
      </c>
      <c r="C85" s="291"/>
      <c r="D85" s="291"/>
      <c r="E85" s="291"/>
      <c r="F85" s="42"/>
      <c r="G85" s="42"/>
      <c r="H85" s="7"/>
    </row>
    <row r="86" spans="1:8" ht="15.75" customHeight="1">
      <c r="A86" s="293"/>
      <c r="B86" s="295" t="s">
        <v>594</v>
      </c>
      <c r="C86" s="291"/>
      <c r="D86" s="291"/>
      <c r="E86" s="291"/>
      <c r="F86" s="42"/>
      <c r="G86" s="42"/>
      <c r="H86" s="7"/>
    </row>
    <row r="87" spans="1:8" ht="15.75" customHeight="1">
      <c r="A87" s="292" t="s">
        <v>461</v>
      </c>
      <c r="B87" s="294"/>
      <c r="C87" s="291"/>
      <c r="D87" s="291"/>
      <c r="E87" s="291"/>
      <c r="F87" s="42"/>
      <c r="G87" s="42"/>
      <c r="H87" s="7"/>
    </row>
    <row r="88" spans="1:8" ht="15.75" customHeight="1">
      <c r="A88" s="292"/>
      <c r="B88" s="294" t="s">
        <v>462</v>
      </c>
      <c r="C88" s="291"/>
      <c r="D88" s="291"/>
      <c r="E88" s="291"/>
      <c r="F88" s="42"/>
      <c r="G88" s="42"/>
      <c r="H88" s="7"/>
    </row>
    <row r="89" spans="1:8" ht="15.75" customHeight="1">
      <c r="A89" s="292"/>
      <c r="B89" s="294" t="s">
        <v>463</v>
      </c>
      <c r="C89" s="291"/>
      <c r="D89" s="291"/>
      <c r="E89" s="291"/>
      <c r="F89" s="42"/>
      <c r="G89" s="42"/>
      <c r="H89" s="7"/>
    </row>
    <row r="90" spans="1:8" ht="15.75" customHeight="1">
      <c r="A90" s="292"/>
      <c r="B90" s="295" t="s">
        <v>464</v>
      </c>
      <c r="C90" s="291"/>
      <c r="D90" s="291"/>
      <c r="E90" s="291"/>
      <c r="F90" s="42"/>
      <c r="G90" s="42"/>
      <c r="H90" s="7"/>
    </row>
    <row r="91" spans="1:8" ht="15.75" customHeight="1">
      <c r="A91" s="292" t="s">
        <v>465</v>
      </c>
      <c r="B91" s="294"/>
      <c r="C91" s="291"/>
      <c r="D91" s="291"/>
      <c r="E91" s="291"/>
      <c r="F91" s="42"/>
      <c r="G91" s="42"/>
      <c r="H91" s="7"/>
    </row>
    <row r="92" spans="1:8" ht="15.75" customHeight="1">
      <c r="A92" s="292"/>
      <c r="B92" s="294" t="s">
        <v>466</v>
      </c>
      <c r="C92" s="291"/>
      <c r="D92" s="291"/>
      <c r="E92" s="291"/>
      <c r="F92" s="42"/>
      <c r="G92" s="42"/>
      <c r="H92" s="7"/>
    </row>
    <row r="93" spans="1:8" ht="15.75" customHeight="1">
      <c r="A93" s="290"/>
      <c r="B93" s="294" t="s">
        <v>467</v>
      </c>
      <c r="C93" s="291"/>
      <c r="D93" s="291"/>
      <c r="E93" s="291"/>
      <c r="F93" s="42"/>
      <c r="G93" s="42"/>
      <c r="H93" s="7"/>
    </row>
    <row r="94" spans="1:8" ht="15.75" customHeight="1">
      <c r="A94" s="292" t="s">
        <v>468</v>
      </c>
      <c r="B94" s="293"/>
      <c r="C94" s="291"/>
      <c r="D94" s="291"/>
      <c r="E94" s="291"/>
      <c r="F94" s="42"/>
      <c r="G94" s="42"/>
      <c r="H94" s="7"/>
    </row>
    <row r="95" spans="1:8" ht="15.75" customHeight="1">
      <c r="A95" s="292" t="s">
        <v>469</v>
      </c>
      <c r="B95" s="294"/>
      <c r="C95" s="291"/>
      <c r="D95" s="291"/>
      <c r="E95" s="291"/>
      <c r="F95" s="42"/>
      <c r="G95" s="42"/>
      <c r="H95" s="7"/>
    </row>
    <row r="96" spans="1:8" ht="15.75" customHeight="1">
      <c r="A96" s="292"/>
      <c r="B96" s="294" t="s">
        <v>470</v>
      </c>
      <c r="C96" s="291"/>
      <c r="D96" s="291"/>
      <c r="E96" s="291"/>
      <c r="F96" s="42"/>
      <c r="G96" s="42"/>
      <c r="H96" s="7"/>
    </row>
    <row r="97" spans="1:8" ht="15.75" customHeight="1">
      <c r="A97" s="292"/>
      <c r="B97" s="294" t="s">
        <v>471</v>
      </c>
      <c r="C97" s="291"/>
      <c r="D97" s="291"/>
      <c r="E97" s="291"/>
      <c r="F97" s="42"/>
      <c r="G97" s="42"/>
      <c r="H97" s="7"/>
    </row>
    <row r="98" spans="1:8" ht="15.75" customHeight="1">
      <c r="A98" s="292"/>
      <c r="B98" s="294" t="s">
        <v>472</v>
      </c>
      <c r="C98" s="291"/>
      <c r="D98" s="291"/>
      <c r="E98" s="291"/>
      <c r="F98" s="42"/>
      <c r="G98" s="42"/>
      <c r="H98" s="7"/>
    </row>
    <row r="99" spans="1:8" ht="15.75" customHeight="1">
      <c r="A99" s="292"/>
      <c r="B99" s="294" t="s">
        <v>473</v>
      </c>
      <c r="C99" s="291"/>
      <c r="D99" s="291"/>
      <c r="E99" s="291"/>
      <c r="F99" s="42"/>
      <c r="G99" s="42"/>
      <c r="H99" s="7"/>
    </row>
    <row r="100" spans="1:8" ht="15.75" customHeight="1">
      <c r="A100" s="292"/>
      <c r="B100" s="294" t="s">
        <v>474</v>
      </c>
      <c r="C100" s="291"/>
      <c r="D100" s="291"/>
      <c r="E100" s="291"/>
      <c r="F100" s="42"/>
      <c r="G100" s="42"/>
      <c r="H100" s="7"/>
    </row>
    <row r="101" spans="1:8" ht="15.75" customHeight="1">
      <c r="A101" s="292"/>
      <c r="B101" s="294" t="s">
        <v>475</v>
      </c>
      <c r="C101" s="291"/>
      <c r="D101" s="291"/>
      <c r="E101" s="291"/>
      <c r="F101" s="42"/>
      <c r="G101" s="42"/>
      <c r="H101" s="7"/>
    </row>
    <row r="102" spans="1:8" ht="15.75" customHeight="1">
      <c r="A102" s="292"/>
      <c r="B102" s="294" t="s">
        <v>476</v>
      </c>
      <c r="C102" s="291"/>
      <c r="D102" s="291"/>
      <c r="E102" s="291"/>
      <c r="F102" s="42"/>
      <c r="G102" s="42"/>
      <c r="H102" s="7"/>
    </row>
    <row r="103" spans="1:8" ht="15.75" customHeight="1">
      <c r="A103" s="292"/>
      <c r="B103" s="295" t="s">
        <v>477</v>
      </c>
      <c r="C103" s="291"/>
      <c r="D103" s="291"/>
      <c r="E103" s="291"/>
      <c r="F103" s="42"/>
      <c r="G103" s="42"/>
      <c r="H103" s="7"/>
    </row>
    <row r="104" spans="1:8" ht="15.75" customHeight="1">
      <c r="A104" s="292" t="s">
        <v>478</v>
      </c>
      <c r="B104" s="294"/>
      <c r="C104" s="291"/>
      <c r="D104" s="291"/>
      <c r="E104" s="291"/>
      <c r="F104" s="42"/>
      <c r="G104" s="42"/>
      <c r="H104" s="7"/>
    </row>
    <row r="105" spans="1:8" ht="15.75" customHeight="1">
      <c r="A105" s="292"/>
      <c r="B105" s="294" t="s">
        <v>479</v>
      </c>
      <c r="C105" s="291"/>
      <c r="D105" s="291"/>
      <c r="E105" s="291"/>
      <c r="F105" s="42"/>
      <c r="G105" s="42"/>
      <c r="H105" s="7"/>
    </row>
    <row r="106" spans="1:8" ht="15.75" customHeight="1">
      <c r="A106" s="290"/>
      <c r="B106" s="295" t="s">
        <v>480</v>
      </c>
      <c r="C106" s="291"/>
      <c r="D106" s="291"/>
      <c r="E106" s="291"/>
      <c r="F106" s="42"/>
      <c r="G106" s="42"/>
      <c r="H106" s="7"/>
    </row>
    <row r="107" spans="1:8" ht="15.75" customHeight="1">
      <c r="A107" s="292" t="s">
        <v>481</v>
      </c>
      <c r="B107" s="282"/>
      <c r="C107" s="291"/>
      <c r="D107" s="291"/>
      <c r="E107" s="291"/>
      <c r="F107" s="42"/>
      <c r="G107" s="42"/>
      <c r="H107" s="7"/>
    </row>
    <row r="108" spans="1:8" ht="15.75" customHeight="1">
      <c r="A108" s="282" t="s">
        <v>482</v>
      </c>
      <c r="B108" s="294"/>
      <c r="C108" s="291"/>
      <c r="D108" s="291"/>
      <c r="E108" s="291"/>
      <c r="F108" s="42"/>
      <c r="G108" s="42"/>
      <c r="H108" s="7"/>
    </row>
    <row r="109" spans="1:8" ht="15.75" customHeight="1">
      <c r="A109" s="282"/>
      <c r="B109" s="294" t="s">
        <v>483</v>
      </c>
      <c r="C109" s="291"/>
      <c r="D109" s="291"/>
      <c r="E109" s="291"/>
      <c r="F109" s="42"/>
      <c r="G109" s="42"/>
      <c r="H109" s="7"/>
    </row>
    <row r="110" spans="1:8" ht="15.75" customHeight="1">
      <c r="A110" s="294"/>
      <c r="B110" s="284" t="s">
        <v>484</v>
      </c>
      <c r="C110" s="291"/>
      <c r="D110" s="291"/>
      <c r="E110" s="291"/>
      <c r="F110" s="42"/>
      <c r="G110" s="42"/>
      <c r="H110" s="7"/>
    </row>
    <row r="111" spans="1:8" ht="15.75" customHeight="1">
      <c r="A111" s="282" t="s">
        <v>485</v>
      </c>
      <c r="B111" s="294"/>
      <c r="C111" s="291"/>
      <c r="D111" s="291"/>
      <c r="E111" s="291"/>
      <c r="F111" s="42"/>
      <c r="G111" s="42"/>
      <c r="H111" s="7"/>
    </row>
    <row r="112" spans="1:8" ht="15.75" customHeight="1">
      <c r="A112" s="282"/>
      <c r="B112" s="294" t="s">
        <v>486</v>
      </c>
      <c r="C112" s="291"/>
      <c r="D112" s="291"/>
      <c r="E112" s="291"/>
      <c r="F112" s="42"/>
      <c r="G112" s="42"/>
      <c r="H112" s="7"/>
    </row>
    <row r="113" spans="1:8" ht="15.75" customHeight="1">
      <c r="A113" s="294"/>
      <c r="B113" s="295" t="s">
        <v>484</v>
      </c>
      <c r="C113" s="291"/>
      <c r="D113" s="291"/>
      <c r="E113" s="291"/>
      <c r="F113" s="42"/>
      <c r="G113" s="42"/>
      <c r="H113" s="7"/>
    </row>
    <row r="114" spans="1:8" ht="15.75" customHeight="1">
      <c r="A114" s="293" t="s">
        <v>487</v>
      </c>
      <c r="B114" s="294"/>
      <c r="C114" s="291"/>
      <c r="D114" s="291"/>
      <c r="E114" s="291"/>
      <c r="F114" s="42"/>
      <c r="G114" s="42"/>
      <c r="H114" s="7"/>
    </row>
    <row r="115" spans="1:8" ht="15.75" customHeight="1">
      <c r="A115" s="293"/>
      <c r="B115" s="294" t="s">
        <v>488</v>
      </c>
      <c r="C115" s="291"/>
      <c r="D115" s="291"/>
      <c r="E115" s="291"/>
      <c r="F115" s="42"/>
      <c r="G115" s="42"/>
      <c r="H115" s="7"/>
    </row>
    <row r="116" spans="1:8" ht="15.75" customHeight="1">
      <c r="A116" s="293"/>
      <c r="B116" s="294" t="s">
        <v>489</v>
      </c>
      <c r="C116" s="291"/>
      <c r="D116" s="291"/>
      <c r="E116" s="291"/>
      <c r="F116" s="42"/>
      <c r="G116" s="42"/>
      <c r="H116" s="7"/>
    </row>
    <row r="117" spans="1:8" ht="15.75" customHeight="1">
      <c r="A117" s="293"/>
      <c r="B117" s="294" t="s">
        <v>490</v>
      </c>
      <c r="C117" s="291"/>
      <c r="D117" s="291"/>
      <c r="E117" s="291"/>
      <c r="F117" s="42"/>
      <c r="G117" s="42"/>
      <c r="H117" s="7"/>
    </row>
    <row r="118" spans="1:8" ht="15.75" customHeight="1">
      <c r="A118" s="290"/>
      <c r="B118" s="294" t="s">
        <v>491</v>
      </c>
      <c r="C118" s="291"/>
      <c r="D118" s="291"/>
      <c r="E118" s="291"/>
      <c r="F118" s="42"/>
      <c r="G118" s="42"/>
      <c r="H118" s="7"/>
    </row>
    <row r="119" spans="1:8" ht="15.75" customHeight="1">
      <c r="A119" s="282" t="s">
        <v>492</v>
      </c>
      <c r="B119" s="295"/>
      <c r="C119" s="282"/>
      <c r="D119" s="282"/>
      <c r="E119" s="291"/>
      <c r="F119" s="42"/>
      <c r="G119" s="42"/>
      <c r="H119" s="7"/>
    </row>
    <row r="120" spans="1:8" ht="15.75" customHeight="1">
      <c r="A120" s="282"/>
      <c r="B120" s="293" t="s">
        <v>522</v>
      </c>
      <c r="C120" s="282"/>
      <c r="D120" s="282"/>
      <c r="E120" s="291"/>
      <c r="F120" s="42"/>
      <c r="G120" s="42"/>
      <c r="H120" s="7"/>
    </row>
    <row r="121" spans="1:8" ht="15.75" customHeight="1">
      <c r="A121" s="282"/>
      <c r="B121" s="293" t="s">
        <v>493</v>
      </c>
      <c r="C121" s="282"/>
      <c r="D121" s="282"/>
      <c r="E121" s="291"/>
      <c r="F121" s="42"/>
      <c r="G121" s="42"/>
      <c r="H121" s="7"/>
    </row>
    <row r="122" spans="1:8" ht="15.75" customHeight="1">
      <c r="A122" s="282"/>
      <c r="B122" s="293" t="s">
        <v>523</v>
      </c>
      <c r="C122" s="282"/>
      <c r="D122" s="282"/>
      <c r="E122" s="291"/>
      <c r="F122" s="42"/>
      <c r="G122" s="42"/>
      <c r="H122" s="7"/>
    </row>
    <row r="123" spans="1:8" ht="15.75" customHeight="1">
      <c r="A123" s="282"/>
      <c r="B123" s="292" t="s">
        <v>494</v>
      </c>
      <c r="C123" s="282"/>
      <c r="D123" s="282"/>
      <c r="E123" s="291"/>
      <c r="F123" s="42"/>
      <c r="G123" s="42"/>
      <c r="H123" s="7"/>
    </row>
    <row r="124" spans="1:8" ht="15.75" customHeight="1">
      <c r="A124" s="282"/>
      <c r="B124" s="292" t="s">
        <v>495</v>
      </c>
      <c r="C124" s="282"/>
      <c r="D124" s="282"/>
      <c r="E124" s="291"/>
      <c r="F124" s="42"/>
      <c r="G124" s="42"/>
      <c r="H124" s="7"/>
    </row>
    <row r="125" spans="1:8" ht="15.75" customHeight="1">
      <c r="A125" s="283"/>
      <c r="B125" s="282" t="s">
        <v>496</v>
      </c>
      <c r="C125" s="282"/>
      <c r="D125" s="282"/>
      <c r="E125" s="291"/>
      <c r="F125" s="42"/>
      <c r="G125" s="42"/>
      <c r="H125" s="7"/>
    </row>
    <row r="126" spans="1:8" ht="15.75" customHeight="1">
      <c r="A126" s="282" t="s">
        <v>497</v>
      </c>
      <c r="B126" s="282"/>
      <c r="C126" s="282"/>
      <c r="D126" s="282"/>
      <c r="E126" s="291"/>
      <c r="F126" s="42"/>
      <c r="G126" s="42"/>
      <c r="H126" s="7"/>
    </row>
    <row r="127" spans="1:8" ht="15.75" customHeight="1">
      <c r="A127" s="282" t="s">
        <v>498</v>
      </c>
      <c r="B127" s="284"/>
      <c r="C127" s="282"/>
      <c r="D127" s="282"/>
      <c r="E127" s="291"/>
      <c r="F127" s="42"/>
      <c r="G127" s="42"/>
      <c r="H127" s="7"/>
    </row>
    <row r="128" spans="1:8" ht="15.75" customHeight="1">
      <c r="A128" s="282"/>
      <c r="B128" s="284" t="s">
        <v>499</v>
      </c>
      <c r="C128" s="282"/>
      <c r="D128" s="282"/>
      <c r="E128" s="291"/>
      <c r="F128" s="42"/>
      <c r="G128" s="42"/>
      <c r="H128" s="7"/>
    </row>
    <row r="129" spans="1:8" ht="15.75" customHeight="1">
      <c r="A129" s="282"/>
      <c r="B129" s="284" t="s">
        <v>500</v>
      </c>
      <c r="C129" s="282"/>
      <c r="D129" s="282"/>
      <c r="E129" s="291"/>
      <c r="F129" s="42"/>
      <c r="G129" s="42"/>
      <c r="H129" s="7"/>
    </row>
    <row r="130" spans="1:8" ht="15.75" customHeight="1">
      <c r="A130" s="282"/>
      <c r="B130" s="284" t="s">
        <v>501</v>
      </c>
      <c r="C130" s="282"/>
      <c r="D130" s="282"/>
      <c r="E130" s="291"/>
      <c r="F130" s="42"/>
      <c r="G130" s="42"/>
      <c r="H130" s="7"/>
    </row>
    <row r="131" spans="1:8" ht="15.75" customHeight="1">
      <c r="A131" s="282"/>
      <c r="B131" s="284" t="s">
        <v>502</v>
      </c>
      <c r="C131" s="282"/>
      <c r="D131" s="282"/>
      <c r="E131" s="291"/>
      <c r="F131" s="42"/>
      <c r="G131" s="42"/>
      <c r="H131" s="7"/>
    </row>
    <row r="132" spans="1:8" ht="15.75" customHeight="1">
      <c r="A132" s="282" t="s">
        <v>503</v>
      </c>
      <c r="B132" s="284"/>
      <c r="C132" s="282"/>
      <c r="D132" s="282"/>
      <c r="E132" s="291"/>
      <c r="F132" s="42"/>
      <c r="G132" s="42"/>
      <c r="H132" s="7"/>
    </row>
    <row r="133" spans="1:8" ht="15.75" customHeight="1">
      <c r="A133" s="282"/>
      <c r="B133" s="284" t="s">
        <v>504</v>
      </c>
      <c r="C133" s="282"/>
      <c r="D133" s="282"/>
      <c r="E133" s="291"/>
      <c r="F133" s="42"/>
      <c r="G133" s="42"/>
      <c r="H133" s="7"/>
    </row>
    <row r="134" spans="1:8" ht="15.75" customHeight="1">
      <c r="A134" s="283"/>
      <c r="B134" s="284" t="s">
        <v>505</v>
      </c>
      <c r="C134" s="282"/>
      <c r="D134" s="282"/>
      <c r="E134" s="291"/>
      <c r="F134" s="42"/>
      <c r="G134" s="42"/>
      <c r="H134" s="7"/>
    </row>
    <row r="135" spans="1:8" ht="15.75" customHeight="1">
      <c r="A135" s="282" t="s">
        <v>506</v>
      </c>
      <c r="B135" s="284"/>
      <c r="C135" s="282"/>
      <c r="D135" s="282"/>
      <c r="E135" s="291"/>
      <c r="F135" s="42"/>
      <c r="G135" s="42"/>
      <c r="H135" s="7"/>
    </row>
    <row r="136" spans="1:8" ht="15.75" customHeight="1">
      <c r="A136" s="290"/>
      <c r="B136" s="292" t="s">
        <v>507</v>
      </c>
      <c r="C136" s="291"/>
      <c r="D136" s="291"/>
      <c r="E136" s="291"/>
      <c r="F136" s="42"/>
      <c r="G136" s="42"/>
      <c r="H136" s="7"/>
    </row>
    <row r="137" spans="1:8" ht="15.75" customHeight="1">
      <c r="A137" s="292" t="s">
        <v>508</v>
      </c>
      <c r="B137" s="294"/>
      <c r="C137" s="291"/>
      <c r="D137" s="291"/>
      <c r="E137" s="291"/>
      <c r="F137" s="42"/>
      <c r="G137" s="42"/>
      <c r="H137" s="7"/>
    </row>
    <row r="138" spans="1:8" ht="15.75" customHeight="1">
      <c r="A138" s="292" t="s">
        <v>509</v>
      </c>
      <c r="B138" s="293"/>
      <c r="C138" s="327"/>
      <c r="D138" s="327"/>
      <c r="E138" s="327"/>
      <c r="F138" s="328"/>
      <c r="G138" s="328"/>
      <c r="H138" s="7"/>
    </row>
    <row r="139" spans="1:8" ht="15.75" customHeight="1">
      <c r="A139" s="290"/>
      <c r="B139" s="295" t="s">
        <v>524</v>
      </c>
      <c r="C139" s="291"/>
      <c r="D139" s="291"/>
      <c r="E139" s="291"/>
      <c r="F139" s="42"/>
      <c r="G139" s="42"/>
      <c r="H139" s="7"/>
    </row>
    <row r="140" spans="1:8" ht="15.75" customHeight="1">
      <c r="A140" s="290"/>
      <c r="B140" s="295" t="s">
        <v>510</v>
      </c>
      <c r="C140" s="291"/>
      <c r="D140" s="291"/>
      <c r="E140" s="291"/>
      <c r="F140" s="42"/>
      <c r="G140" s="42"/>
      <c r="H140" s="7"/>
    </row>
    <row r="141" spans="1:8" ht="15.75" customHeight="1">
      <c r="A141" s="290"/>
      <c r="B141" s="295" t="s">
        <v>525</v>
      </c>
      <c r="C141" s="291"/>
      <c r="D141" s="291"/>
      <c r="E141" s="291"/>
      <c r="F141" s="42"/>
      <c r="G141" s="42"/>
      <c r="H141" s="7"/>
    </row>
    <row r="142" spans="1:8" ht="15.75" customHeight="1">
      <c r="A142" s="290"/>
      <c r="B142" s="295" t="s">
        <v>511</v>
      </c>
      <c r="C142" s="291"/>
      <c r="D142" s="291"/>
      <c r="E142" s="291"/>
      <c r="F142" s="42"/>
      <c r="G142" s="42"/>
      <c r="H142" s="7"/>
    </row>
    <row r="143" spans="1:8" ht="15.75" customHeight="1">
      <c r="A143" s="290"/>
      <c r="B143" s="295" t="s">
        <v>526</v>
      </c>
      <c r="C143" s="291"/>
      <c r="D143" s="291"/>
      <c r="E143" s="291"/>
      <c r="F143" s="42"/>
      <c r="G143" s="42"/>
      <c r="H143" s="7"/>
    </row>
    <row r="144" spans="1:8" ht="15.75" customHeight="1">
      <c r="A144" s="293"/>
      <c r="B144" s="295" t="s">
        <v>527</v>
      </c>
      <c r="C144" s="291"/>
      <c r="D144" s="291"/>
      <c r="E144" s="291"/>
      <c r="F144" s="42"/>
      <c r="G144" s="42"/>
      <c r="H144" s="7"/>
    </row>
    <row r="145" spans="1:8" ht="15.75" customHeight="1">
      <c r="A145" s="292"/>
      <c r="B145" s="295" t="s">
        <v>528</v>
      </c>
      <c r="C145" s="291"/>
      <c r="D145" s="291"/>
      <c r="E145" s="291"/>
      <c r="F145" s="42"/>
      <c r="G145" s="42"/>
      <c r="H145" s="7"/>
    </row>
    <row r="146" spans="1:8" ht="15.75" customHeight="1">
      <c r="A146" s="293" t="s">
        <v>512</v>
      </c>
      <c r="B146" s="294"/>
      <c r="C146" s="291"/>
      <c r="D146" s="291"/>
      <c r="E146" s="291"/>
      <c r="F146" s="42"/>
      <c r="G146" s="42"/>
      <c r="H146" s="7"/>
    </row>
    <row r="147" spans="1:8" ht="15.75" customHeight="1">
      <c r="A147" s="293"/>
      <c r="B147" s="294" t="s">
        <v>513</v>
      </c>
      <c r="C147" s="291"/>
      <c r="D147" s="291"/>
      <c r="E147" s="291"/>
      <c r="F147" s="42"/>
      <c r="G147" s="42"/>
      <c r="H147" s="7"/>
    </row>
    <row r="148" spans="1:8" ht="15.75" customHeight="1">
      <c r="A148" s="293"/>
      <c r="B148" s="295" t="s">
        <v>514</v>
      </c>
      <c r="C148" s="291"/>
      <c r="D148" s="291"/>
      <c r="E148" s="291"/>
      <c r="F148" s="42"/>
      <c r="G148" s="42"/>
      <c r="H148" s="7"/>
    </row>
    <row r="149" spans="1:8" ht="15.75" customHeight="1">
      <c r="A149" s="293"/>
      <c r="B149" s="295" t="s">
        <v>529</v>
      </c>
      <c r="C149" s="291"/>
      <c r="D149" s="291"/>
      <c r="E149" s="291"/>
      <c r="F149" s="42"/>
      <c r="G149" s="42"/>
      <c r="H149" s="7"/>
    </row>
    <row r="150" spans="1:8" ht="15.75" customHeight="1">
      <c r="A150" s="293"/>
      <c r="B150" s="295" t="s">
        <v>526</v>
      </c>
      <c r="C150" s="291"/>
      <c r="D150" s="291"/>
      <c r="E150" s="291"/>
      <c r="F150" s="42"/>
      <c r="G150" s="42"/>
      <c r="H150" s="7"/>
    </row>
    <row r="151" spans="1:8" ht="15.75" customHeight="1">
      <c r="A151" s="290"/>
      <c r="B151" s="294" t="s">
        <v>515</v>
      </c>
      <c r="C151" s="291"/>
      <c r="D151" s="291"/>
      <c r="E151" s="291"/>
      <c r="F151" s="42"/>
      <c r="G151" s="42"/>
      <c r="H151" s="7"/>
    </row>
    <row r="152" spans="1:10" s="39" customFormat="1" ht="15.75" customHeight="1">
      <c r="A152" s="290" t="s">
        <v>516</v>
      </c>
      <c r="B152" s="294"/>
      <c r="C152" s="291"/>
      <c r="D152" s="291"/>
      <c r="E152" s="291"/>
      <c r="F152" s="42"/>
      <c r="G152" s="42"/>
      <c r="H152" s="40"/>
      <c r="J152" s="38"/>
    </row>
    <row r="153" spans="1:10" s="39" customFormat="1" ht="15.75" customHeight="1">
      <c r="A153" s="290" t="s">
        <v>517</v>
      </c>
      <c r="B153" s="294"/>
      <c r="C153" s="291"/>
      <c r="D153" s="291"/>
      <c r="E153" s="291"/>
      <c r="F153" s="42"/>
      <c r="G153" s="42"/>
      <c r="H153" s="40"/>
      <c r="J153" s="38"/>
    </row>
    <row r="154" spans="1:10" s="39" customFormat="1" ht="15.75" customHeight="1">
      <c r="A154" s="290" t="s">
        <v>518</v>
      </c>
      <c r="B154" s="294"/>
      <c r="C154" s="291"/>
      <c r="D154" s="291"/>
      <c r="E154" s="291"/>
      <c r="F154" s="42"/>
      <c r="G154" s="42"/>
      <c r="H154" s="40"/>
      <c r="J154" s="38"/>
    </row>
    <row r="155" spans="1:10" s="39" customFormat="1" ht="20.25" customHeight="1">
      <c r="A155" s="290" t="s">
        <v>519</v>
      </c>
      <c r="B155" s="294"/>
      <c r="C155" s="291"/>
      <c r="D155" s="291"/>
      <c r="E155" s="291"/>
      <c r="F155" s="42"/>
      <c r="G155" s="42"/>
      <c r="H155" s="40"/>
      <c r="J155" s="38"/>
    </row>
    <row r="156" spans="1:8" ht="20.25" customHeight="1">
      <c r="A156" s="290" t="s">
        <v>520</v>
      </c>
      <c r="B156" s="294"/>
      <c r="C156" s="291"/>
      <c r="D156" s="291"/>
      <c r="E156" s="291"/>
      <c r="F156" s="42"/>
      <c r="G156" s="42"/>
      <c r="H156" s="7"/>
    </row>
    <row r="157" spans="1:5" ht="55.5" customHeight="1">
      <c r="A157" s="6" t="s">
        <v>140</v>
      </c>
      <c r="B157" s="281"/>
      <c r="C157" s="282"/>
      <c r="D157" s="282"/>
      <c r="E157" s="282"/>
    </row>
    <row r="158" spans="1:2" ht="15.75">
      <c r="A158" s="6"/>
      <c r="B158" s="6"/>
    </row>
    <row r="159" spans="1:5" ht="15.75">
      <c r="A159" s="43" t="s">
        <v>384</v>
      </c>
      <c r="B159" s="43"/>
      <c r="C159" s="15" t="s">
        <v>94</v>
      </c>
      <c r="D159" s="15" t="s">
        <v>29</v>
      </c>
      <c r="E159" s="1"/>
    </row>
    <row r="160" spans="1:4" ht="19.5" customHeight="1">
      <c r="A160" s="44"/>
      <c r="B160" s="45" t="s">
        <v>141</v>
      </c>
      <c r="C160" s="9">
        <v>8646942</v>
      </c>
      <c r="D160" s="9">
        <v>116984569</v>
      </c>
    </row>
    <row r="161" spans="1:4" ht="19.5" customHeight="1">
      <c r="A161" s="46"/>
      <c r="B161" s="47" t="s">
        <v>142</v>
      </c>
      <c r="C161" s="10">
        <v>10877742593</v>
      </c>
      <c r="D161" s="10">
        <v>16154823561</v>
      </c>
    </row>
    <row r="162" spans="1:4" ht="19.5" customHeight="1">
      <c r="A162" s="46"/>
      <c r="B162" s="47" t="s">
        <v>255</v>
      </c>
      <c r="C162" s="10">
        <f>SUM(C163:C163)</f>
        <v>4000000000</v>
      </c>
      <c r="D162" s="10">
        <v>5500000000</v>
      </c>
    </row>
    <row r="163" spans="1:4" ht="19.5" customHeight="1">
      <c r="A163" s="46"/>
      <c r="B163" s="12" t="s">
        <v>2</v>
      </c>
      <c r="C163" s="12">
        <v>4000000000</v>
      </c>
      <c r="D163" s="12">
        <v>5500000000</v>
      </c>
    </row>
    <row r="164" spans="1:4" ht="19.5" customHeight="1">
      <c r="A164" s="48"/>
      <c r="B164" s="49" t="s">
        <v>143</v>
      </c>
      <c r="C164" s="50">
        <f>SUM(C160:C162)</f>
        <v>14886389535</v>
      </c>
      <c r="D164" s="51">
        <v>21771808130</v>
      </c>
    </row>
    <row r="165" spans="1:4" ht="15.75">
      <c r="A165" s="41"/>
      <c r="B165" s="22"/>
      <c r="C165" s="22"/>
      <c r="D165" s="22"/>
    </row>
    <row r="166" spans="1:4" ht="15.75">
      <c r="A166" s="58" t="s">
        <v>383</v>
      </c>
      <c r="B166" s="59"/>
      <c r="C166" s="15" t="str">
        <f>C159</f>
        <v>Sè cuèi kú</v>
      </c>
      <c r="D166" s="15" t="str">
        <f>D159</f>
        <v>Sè ®Çu n¨m</v>
      </c>
    </row>
    <row r="167" spans="1:4" ht="18.75" customHeight="1">
      <c r="A167" s="46"/>
      <c r="B167" s="47" t="s">
        <v>691</v>
      </c>
      <c r="C167" s="10">
        <v>60578683</v>
      </c>
      <c r="D167" s="10">
        <v>118987530</v>
      </c>
    </row>
    <row r="168" spans="1:4" ht="18.75" customHeight="1">
      <c r="A168" s="46"/>
      <c r="B168" s="47" t="s">
        <v>692</v>
      </c>
      <c r="C168" s="10">
        <v>3024208</v>
      </c>
      <c r="D168" s="10">
        <v>0</v>
      </c>
    </row>
    <row r="169" spans="1:4" ht="18.75" customHeight="1">
      <c r="A169" s="46"/>
      <c r="B169" s="47" t="s">
        <v>144</v>
      </c>
      <c r="C169" s="10">
        <f>SUM(C170:C171)</f>
        <v>37764022</v>
      </c>
      <c r="D169" s="10">
        <v>50083700</v>
      </c>
    </row>
    <row r="170" spans="1:4" ht="18.75" customHeight="1">
      <c r="A170" s="46"/>
      <c r="B170" s="12" t="s">
        <v>261</v>
      </c>
      <c r="C170" s="12">
        <v>7764022</v>
      </c>
      <c r="D170" s="12">
        <v>50083700</v>
      </c>
    </row>
    <row r="171" spans="1:4" ht="18.75" customHeight="1">
      <c r="A171" s="46"/>
      <c r="B171" s="12" t="s">
        <v>369</v>
      </c>
      <c r="C171" s="12">
        <v>30000000</v>
      </c>
      <c r="D171" s="12">
        <v>0</v>
      </c>
    </row>
    <row r="172" spans="1:4" ht="18.75" customHeight="1">
      <c r="A172" s="48"/>
      <c r="B172" s="15" t="s">
        <v>143</v>
      </c>
      <c r="C172" s="51">
        <f>SUM(C167:C169)</f>
        <v>101366913</v>
      </c>
      <c r="D172" s="51">
        <f>SUM(D167:D169)</f>
        <v>169071230</v>
      </c>
    </row>
    <row r="173" spans="1:4" ht="17.25" customHeight="1">
      <c r="A173" s="52"/>
      <c r="B173" s="22"/>
      <c r="C173" s="23"/>
      <c r="D173" s="23"/>
    </row>
    <row r="174" spans="1:4" ht="15.75">
      <c r="A174" s="58" t="s">
        <v>381</v>
      </c>
      <c r="B174" s="61"/>
      <c r="C174" s="15" t="str">
        <f>C166</f>
        <v>Sè cuèi kú</v>
      </c>
      <c r="D174" s="15" t="str">
        <f>D166</f>
        <v>Sè ®Çu n¨m</v>
      </c>
    </row>
    <row r="175" spans="1:6" ht="18.75" customHeight="1">
      <c r="A175" s="46"/>
      <c r="B175" s="47" t="s">
        <v>145</v>
      </c>
      <c r="C175" s="10">
        <v>26444767631</v>
      </c>
      <c r="D175" s="10">
        <v>26418676311</v>
      </c>
      <c r="F175" s="2">
        <f>C175+C176+C177</f>
        <v>39312673992</v>
      </c>
    </row>
    <row r="176" spans="1:6" ht="18.75" customHeight="1">
      <c r="A176" s="46"/>
      <c r="B176" s="47" t="s">
        <v>146</v>
      </c>
      <c r="C176" s="10">
        <v>932790256</v>
      </c>
      <c r="D176" s="10">
        <v>853211807</v>
      </c>
      <c r="F176" s="2">
        <f>C178+C181</f>
        <v>57240095133</v>
      </c>
    </row>
    <row r="177" spans="1:4" ht="18.75" customHeight="1">
      <c r="A177" s="46"/>
      <c r="B177" s="47" t="s">
        <v>316</v>
      </c>
      <c r="C177" s="10">
        <f>11935116105</f>
        <v>11935116105</v>
      </c>
      <c r="D177" s="10">
        <v>6661644322</v>
      </c>
    </row>
    <row r="178" spans="1:4" ht="18.75" customHeight="1">
      <c r="A178" s="46"/>
      <c r="B178" s="47" t="s">
        <v>147</v>
      </c>
      <c r="C178" s="10">
        <f>58162129733</f>
        <v>58162129733</v>
      </c>
      <c r="D178" s="10">
        <v>34274079993</v>
      </c>
    </row>
    <row r="179" spans="1:4" ht="18.75" customHeight="1">
      <c r="A179" s="46"/>
      <c r="B179" s="47" t="s">
        <v>148</v>
      </c>
      <c r="C179" s="10">
        <v>5245276662</v>
      </c>
      <c r="D179" s="10">
        <v>1260934930</v>
      </c>
    </row>
    <row r="180" spans="1:4" ht="18.75" customHeight="1">
      <c r="A180" s="46"/>
      <c r="B180" s="47" t="s">
        <v>149</v>
      </c>
      <c r="C180" s="10">
        <f>1776506277</f>
        <v>1776506277</v>
      </c>
      <c r="D180" s="10">
        <v>2061552079</v>
      </c>
    </row>
    <row r="181" spans="1:5" ht="18.75" customHeight="1">
      <c r="A181" s="271"/>
      <c r="B181" s="47" t="s">
        <v>150</v>
      </c>
      <c r="C181" s="272">
        <v>-922034600</v>
      </c>
      <c r="D181" s="272">
        <v>-922034600</v>
      </c>
      <c r="E181" s="2">
        <f>SUM(C175:C180)</f>
        <v>104496586664</v>
      </c>
    </row>
    <row r="182" spans="1:4" ht="18.75" customHeight="1">
      <c r="A182" s="64"/>
      <c r="B182" s="15" t="s">
        <v>151</v>
      </c>
      <c r="C182" s="51">
        <f>SUM(C175:C181)</f>
        <v>103574552064</v>
      </c>
      <c r="D182" s="51">
        <f>SUM(D175:D181)</f>
        <v>70608064842</v>
      </c>
    </row>
    <row r="183" spans="1:4" ht="15.75">
      <c r="A183" s="66" t="s">
        <v>3</v>
      </c>
      <c r="B183" s="32"/>
      <c r="C183" s="105"/>
      <c r="D183" s="115"/>
    </row>
    <row r="184" spans="1:4" ht="15.75">
      <c r="A184" s="436" t="s">
        <v>4</v>
      </c>
      <c r="B184" s="437"/>
      <c r="C184" s="437"/>
      <c r="D184" s="437"/>
    </row>
    <row r="185" spans="1:4" ht="17.25" customHeight="1">
      <c r="A185" s="41"/>
      <c r="B185" s="22"/>
      <c r="C185" s="7"/>
      <c r="D185" s="7"/>
    </row>
    <row r="186" spans="1:4" ht="15.75">
      <c r="A186" s="58" t="s">
        <v>382</v>
      </c>
      <c r="B186" s="61"/>
      <c r="C186" s="15" t="s">
        <v>94</v>
      </c>
      <c r="D186" s="15" t="s">
        <v>29</v>
      </c>
    </row>
    <row r="187" spans="1:4" ht="20.25" customHeight="1">
      <c r="A187" s="278"/>
      <c r="B187" s="279" t="s">
        <v>276</v>
      </c>
      <c r="C187" s="13">
        <v>1360362170</v>
      </c>
      <c r="D187" s="13">
        <v>852412806</v>
      </c>
    </row>
    <row r="188" spans="1:4" ht="20.25" customHeight="1">
      <c r="A188" s="280"/>
      <c r="B188" s="56" t="s">
        <v>610</v>
      </c>
      <c r="C188" s="57">
        <v>1438462050</v>
      </c>
      <c r="D188" s="57">
        <v>51245000</v>
      </c>
    </row>
    <row r="189" spans="1:4" ht="20.25" customHeight="1">
      <c r="A189" s="48"/>
      <c r="B189" s="15" t="s">
        <v>143</v>
      </c>
      <c r="C189" s="65">
        <f>SUM(C187:C188)</f>
        <v>2798824220</v>
      </c>
      <c r="D189" s="65">
        <f>SUM(D187:D188)</f>
        <v>903657806</v>
      </c>
    </row>
    <row r="190" spans="1:4" ht="15.75">
      <c r="A190" s="41"/>
      <c r="B190" s="22"/>
      <c r="C190" s="7"/>
      <c r="D190" s="7"/>
    </row>
    <row r="191" spans="1:4" ht="20.25" customHeight="1">
      <c r="A191" s="58" t="s">
        <v>390</v>
      </c>
      <c r="B191" s="61"/>
      <c r="C191" s="15" t="s">
        <v>94</v>
      </c>
      <c r="D191" s="15" t="s">
        <v>29</v>
      </c>
    </row>
    <row r="192" spans="1:4" ht="20.25" customHeight="1">
      <c r="A192" s="280"/>
      <c r="B192" s="56" t="s">
        <v>584</v>
      </c>
      <c r="C192" s="57">
        <v>4108716746</v>
      </c>
      <c r="D192" s="57">
        <v>0</v>
      </c>
    </row>
    <row r="193" spans="1:4" ht="20.25" customHeight="1">
      <c r="A193" s="48"/>
      <c r="B193" s="15" t="s">
        <v>143</v>
      </c>
      <c r="C193" s="65">
        <f>SUM(C192:C192)</f>
        <v>4108716746</v>
      </c>
      <c r="D193" s="65">
        <f>SUM(D192:D192)</f>
        <v>0</v>
      </c>
    </row>
    <row r="194" spans="1:4" ht="15.75">
      <c r="A194" s="41"/>
      <c r="B194" s="22"/>
      <c r="C194" s="7"/>
      <c r="D194" s="7"/>
    </row>
    <row r="195" ht="15.75">
      <c r="A195" s="38" t="s">
        <v>385</v>
      </c>
    </row>
    <row r="196" ht="15.75">
      <c r="A196" s="38"/>
    </row>
    <row r="197" spans="1:8" ht="15.75">
      <c r="A197" s="70"/>
      <c r="B197" s="71"/>
      <c r="C197" s="71" t="s">
        <v>152</v>
      </c>
      <c r="D197" s="71" t="s">
        <v>153</v>
      </c>
      <c r="E197" s="71" t="s">
        <v>154</v>
      </c>
      <c r="F197" s="71" t="s">
        <v>155</v>
      </c>
      <c r="G197" s="71" t="s">
        <v>156</v>
      </c>
      <c r="H197" s="71"/>
    </row>
    <row r="198" spans="1:8" ht="15.75">
      <c r="A198" s="72" t="s">
        <v>157</v>
      </c>
      <c r="B198" s="72" t="s">
        <v>158</v>
      </c>
      <c r="C198" s="72" t="s">
        <v>348</v>
      </c>
      <c r="D198" s="72" t="s">
        <v>159</v>
      </c>
      <c r="E198" s="72" t="s">
        <v>332</v>
      </c>
      <c r="F198" s="72" t="s">
        <v>160</v>
      </c>
      <c r="G198" s="72" t="s">
        <v>161</v>
      </c>
      <c r="H198" s="72" t="s">
        <v>23</v>
      </c>
    </row>
    <row r="199" spans="1:8" ht="15.75">
      <c r="A199" s="73"/>
      <c r="B199" s="74"/>
      <c r="C199" s="17" t="s">
        <v>349</v>
      </c>
      <c r="D199" s="17" t="s">
        <v>162</v>
      </c>
      <c r="E199" s="17" t="s">
        <v>333</v>
      </c>
      <c r="F199" s="74"/>
      <c r="G199" s="74"/>
      <c r="H199" s="74"/>
    </row>
    <row r="200" spans="1:8" ht="18.75" customHeight="1">
      <c r="A200" s="75" t="s">
        <v>163</v>
      </c>
      <c r="B200" s="76"/>
      <c r="C200" s="76"/>
      <c r="D200" s="76"/>
      <c r="E200" s="76"/>
      <c r="F200" s="76"/>
      <c r="G200" s="76"/>
      <c r="H200" s="76"/>
    </row>
    <row r="201" spans="1:8" ht="18.75" customHeight="1">
      <c r="A201" s="19" t="s">
        <v>164</v>
      </c>
      <c r="B201" s="26">
        <v>57921688297</v>
      </c>
      <c r="C201" s="26">
        <v>32419232612</v>
      </c>
      <c r="D201" s="26">
        <v>11187530701</v>
      </c>
      <c r="E201" s="26">
        <v>573920273</v>
      </c>
      <c r="F201" s="26">
        <v>0</v>
      </c>
      <c r="G201" s="26">
        <v>102102371883</v>
      </c>
      <c r="H201" s="26"/>
    </row>
    <row r="202" spans="1:8" ht="18.75" customHeight="1">
      <c r="A202" s="77" t="s">
        <v>165</v>
      </c>
      <c r="B202" s="29"/>
      <c r="C202" s="29">
        <v>1331059482</v>
      </c>
      <c r="D202" s="29"/>
      <c r="E202" s="29">
        <v>76000000</v>
      </c>
      <c r="F202" s="29"/>
      <c r="G202" s="78">
        <f>SUM(B202:F202)</f>
        <v>1407059482</v>
      </c>
      <c r="H202" s="27"/>
    </row>
    <row r="203" spans="1:8" ht="18.75" customHeight="1">
      <c r="A203" s="77" t="s">
        <v>166</v>
      </c>
      <c r="B203" s="189">
        <v>81249593</v>
      </c>
      <c r="C203" s="29"/>
      <c r="D203" s="29"/>
      <c r="E203" s="29"/>
      <c r="F203" s="29"/>
      <c r="G203" s="78">
        <f>SUM(B203:F203)</f>
        <v>81249593</v>
      </c>
      <c r="H203" s="27"/>
    </row>
    <row r="204" spans="1:8" ht="18.75" customHeight="1">
      <c r="A204" s="77" t="s">
        <v>167</v>
      </c>
      <c r="B204" s="29"/>
      <c r="C204" s="29"/>
      <c r="D204" s="29"/>
      <c r="E204" s="29"/>
      <c r="F204" s="29"/>
      <c r="G204" s="78">
        <f>SUM(B204:F204)</f>
        <v>0</v>
      </c>
      <c r="H204" s="27"/>
    </row>
    <row r="205" spans="1:8" ht="18.75" customHeight="1">
      <c r="A205" s="77" t="s">
        <v>168</v>
      </c>
      <c r="B205" s="29"/>
      <c r="C205" s="273"/>
      <c r="D205" s="29"/>
      <c r="E205" s="29"/>
      <c r="F205" s="29"/>
      <c r="G205" s="274">
        <f>SUM(B205:F205)</f>
        <v>0</v>
      </c>
      <c r="H205" s="27"/>
    </row>
    <row r="206" spans="1:10" s="221" customFormat="1" ht="18.75" customHeight="1">
      <c r="A206" s="267" t="s">
        <v>169</v>
      </c>
      <c r="B206" s="29"/>
      <c r="C206" s="29"/>
      <c r="D206" s="29"/>
      <c r="E206" s="29"/>
      <c r="F206" s="29"/>
      <c r="G206" s="212">
        <f>SUM(B206:F206)</f>
        <v>0</v>
      </c>
      <c r="H206" s="93"/>
      <c r="J206" s="232"/>
    </row>
    <row r="207" spans="1:9" ht="18.75" customHeight="1">
      <c r="A207" s="19" t="s">
        <v>170</v>
      </c>
      <c r="B207" s="26">
        <f aca="true" t="shared" si="0" ref="B207:G207">SUM(B201:B204)-B205-B206</f>
        <v>58002937890</v>
      </c>
      <c r="C207" s="26">
        <f t="shared" si="0"/>
        <v>33750292094</v>
      </c>
      <c r="D207" s="26">
        <f t="shared" si="0"/>
        <v>11187530701</v>
      </c>
      <c r="E207" s="26">
        <f t="shared" si="0"/>
        <v>649920273</v>
      </c>
      <c r="F207" s="26">
        <f t="shared" si="0"/>
        <v>0</v>
      </c>
      <c r="G207" s="26">
        <f t="shared" si="0"/>
        <v>103590680958</v>
      </c>
      <c r="H207" s="26"/>
      <c r="I207" s="2">
        <f>102102371883</f>
        <v>102102371883</v>
      </c>
    </row>
    <row r="208" spans="1:8" ht="18.75" customHeight="1">
      <c r="A208" s="79" t="s">
        <v>171</v>
      </c>
      <c r="B208" s="27"/>
      <c r="C208" s="27"/>
      <c r="D208" s="27"/>
      <c r="E208" s="27"/>
      <c r="F208" s="27"/>
      <c r="G208" s="27"/>
      <c r="H208" s="27"/>
    </row>
    <row r="209" spans="1:8" ht="18.75" customHeight="1">
      <c r="A209" s="19" t="s">
        <v>164</v>
      </c>
      <c r="B209" s="26">
        <v>17813133285</v>
      </c>
      <c r="C209" s="26">
        <v>17012156855</v>
      </c>
      <c r="D209" s="26">
        <v>7638339574</v>
      </c>
      <c r="E209" s="26">
        <v>363142037</v>
      </c>
      <c r="F209" s="26">
        <v>0</v>
      </c>
      <c r="G209" s="26">
        <f>SUM(B209:F209)</f>
        <v>42826771751</v>
      </c>
      <c r="H209" s="26"/>
    </row>
    <row r="210" spans="1:8" ht="18.75" customHeight="1">
      <c r="A210" s="29" t="s">
        <v>172</v>
      </c>
      <c r="B210" s="29">
        <f>825136323-40753041</f>
        <v>784383282</v>
      </c>
      <c r="C210" s="29">
        <f>751170354</f>
        <v>751170354</v>
      </c>
      <c r="D210" s="29">
        <f>203764635</f>
        <v>203764635</v>
      </c>
      <c r="E210" s="29">
        <f>33913203</f>
        <v>33913203</v>
      </c>
      <c r="F210" s="189"/>
      <c r="G210" s="78">
        <f>SUM(B210:F210)</f>
        <v>1773231474</v>
      </c>
      <c r="H210" s="29"/>
    </row>
    <row r="211" spans="1:8" ht="18.75" customHeight="1">
      <c r="A211" s="29" t="s">
        <v>5</v>
      </c>
      <c r="B211" s="29"/>
      <c r="C211" s="29"/>
      <c r="D211" s="29"/>
      <c r="E211" s="189"/>
      <c r="F211" s="29"/>
      <c r="G211" s="78"/>
      <c r="H211" s="29"/>
    </row>
    <row r="212" spans="1:8" ht="18.75" customHeight="1">
      <c r="A212" s="29" t="s">
        <v>6</v>
      </c>
      <c r="B212" s="29"/>
      <c r="C212" s="29"/>
      <c r="D212" s="29"/>
      <c r="E212" s="29"/>
      <c r="F212" s="29"/>
      <c r="G212" s="78"/>
      <c r="H212" s="29"/>
    </row>
    <row r="213" spans="1:8" ht="18.75" customHeight="1">
      <c r="A213" s="29" t="s">
        <v>173</v>
      </c>
      <c r="B213" s="29"/>
      <c r="C213" s="189"/>
      <c r="D213" s="29"/>
      <c r="E213" s="29"/>
      <c r="F213" s="29"/>
      <c r="G213" s="78"/>
      <c r="H213" s="29"/>
    </row>
    <row r="214" spans="1:10" s="221" customFormat="1" ht="18.75" customHeight="1">
      <c r="A214" s="267" t="s">
        <v>169</v>
      </c>
      <c r="B214" s="189"/>
      <c r="C214" s="189"/>
      <c r="D214" s="189"/>
      <c r="E214" s="189"/>
      <c r="F214" s="189"/>
      <c r="G214" s="212"/>
      <c r="H214" s="211"/>
      <c r="J214" s="232"/>
    </row>
    <row r="215" spans="1:8" ht="18.75" customHeight="1">
      <c r="A215" s="19" t="s">
        <v>170</v>
      </c>
      <c r="B215" s="26">
        <f>B209+B210-SUM(B212:B214)</f>
        <v>18597516567</v>
      </c>
      <c r="C215" s="26">
        <f>C209+C210-SUM(C212:C214)</f>
        <v>17763327209</v>
      </c>
      <c r="D215" s="26">
        <f>D209+D210-SUM(D212:D214)</f>
        <v>7842104209</v>
      </c>
      <c r="E215" s="26">
        <f>E209+E210-SUM(E212:E214)</f>
        <v>397055240</v>
      </c>
      <c r="F215" s="26">
        <f>F209+F210-SUM(F212:F214)</f>
        <v>0</v>
      </c>
      <c r="G215" s="26">
        <f>SUM(B215:F215)</f>
        <v>44600003225</v>
      </c>
      <c r="H215" s="211"/>
    </row>
    <row r="216" spans="1:8" ht="18.75" customHeight="1">
      <c r="A216" s="79" t="s">
        <v>174</v>
      </c>
      <c r="B216" s="27"/>
      <c r="C216" s="27"/>
      <c r="D216" s="27"/>
      <c r="E216" s="27"/>
      <c r="F216" s="27"/>
      <c r="G216" s="27"/>
      <c r="H216" s="211"/>
    </row>
    <row r="217" spans="1:8" ht="18.75" customHeight="1">
      <c r="A217" s="26" t="s">
        <v>175</v>
      </c>
      <c r="B217" s="79">
        <f aca="true" t="shared" si="1" ref="B217:G217">B201-B209</f>
        <v>40108555012</v>
      </c>
      <c r="C217" s="79">
        <f t="shared" si="1"/>
        <v>15407075757</v>
      </c>
      <c r="D217" s="79">
        <f t="shared" si="1"/>
        <v>3549191127</v>
      </c>
      <c r="E217" s="79">
        <f t="shared" si="1"/>
        <v>210778236</v>
      </c>
      <c r="F217" s="79">
        <f t="shared" si="1"/>
        <v>0</v>
      </c>
      <c r="G217" s="79">
        <f t="shared" si="1"/>
        <v>59275600132</v>
      </c>
      <c r="H217" s="211"/>
    </row>
    <row r="218" spans="1:8" ht="18.75" customHeight="1">
      <c r="A218" s="26" t="s">
        <v>176</v>
      </c>
      <c r="B218" s="79">
        <f aca="true" t="shared" si="2" ref="B218:G218">B207-B215</f>
        <v>39405421323</v>
      </c>
      <c r="C218" s="79">
        <f t="shared" si="2"/>
        <v>15986964885</v>
      </c>
      <c r="D218" s="79">
        <f t="shared" si="2"/>
        <v>3345426492</v>
      </c>
      <c r="E218" s="79">
        <f t="shared" si="2"/>
        <v>252865033</v>
      </c>
      <c r="F218" s="79">
        <f t="shared" si="2"/>
        <v>0</v>
      </c>
      <c r="G218" s="79">
        <f t="shared" si="2"/>
        <v>58990677733</v>
      </c>
      <c r="H218" s="211"/>
    </row>
    <row r="219" spans="1:8" ht="41.25" customHeight="1">
      <c r="A219" s="381" t="s">
        <v>272</v>
      </c>
      <c r="B219" s="382">
        <v>7073912064</v>
      </c>
      <c r="C219" s="382">
        <v>11249643533</v>
      </c>
      <c r="D219" s="382">
        <v>5269848715</v>
      </c>
      <c r="E219" s="382">
        <v>95236364</v>
      </c>
      <c r="F219" s="382">
        <v>0</v>
      </c>
      <c r="G219" s="382">
        <f>SUM(B219:F219)</f>
        <v>23688640676</v>
      </c>
      <c r="H219" s="383"/>
    </row>
    <row r="220" spans="1:8" ht="15.75">
      <c r="A220" s="245" t="s">
        <v>177</v>
      </c>
      <c r="B220" s="53"/>
      <c r="C220" s="53"/>
      <c r="D220" s="53"/>
      <c r="E220" s="53"/>
      <c r="F220" s="53"/>
      <c r="G220" s="53"/>
      <c r="H220" s="380"/>
    </row>
    <row r="221" spans="1:8" ht="15.75">
      <c r="A221" s="68" t="s">
        <v>269</v>
      </c>
      <c r="B221" s="46"/>
      <c r="C221" s="46"/>
      <c r="D221" s="46"/>
      <c r="E221" s="46"/>
      <c r="F221" s="46"/>
      <c r="G221" s="46"/>
      <c r="H221" s="211"/>
    </row>
    <row r="222" spans="1:8" ht="15.75">
      <c r="A222" s="124" t="s">
        <v>178</v>
      </c>
      <c r="B222" s="55"/>
      <c r="C222" s="31"/>
      <c r="D222" s="55"/>
      <c r="E222" s="55"/>
      <c r="F222" s="55"/>
      <c r="G222" s="55"/>
      <c r="H222" s="55"/>
    </row>
    <row r="223" spans="1:2" ht="15.75">
      <c r="A223" s="38" t="s">
        <v>386</v>
      </c>
      <c r="B223" s="6"/>
    </row>
    <row r="224" spans="1:2" ht="15.75">
      <c r="A224" s="6"/>
      <c r="B224" s="6"/>
    </row>
    <row r="225" spans="1:9" ht="15.75">
      <c r="A225" s="70"/>
      <c r="B225" s="71" t="s">
        <v>179</v>
      </c>
      <c r="C225" s="71" t="s">
        <v>180</v>
      </c>
      <c r="D225" s="71" t="s">
        <v>181</v>
      </c>
      <c r="E225" s="71" t="s">
        <v>334</v>
      </c>
      <c r="F225" s="71" t="s">
        <v>155</v>
      </c>
      <c r="G225" s="71"/>
      <c r="H225" s="71"/>
      <c r="I225" s="7"/>
    </row>
    <row r="226" spans="1:9" ht="15.75">
      <c r="A226" s="72" t="s">
        <v>182</v>
      </c>
      <c r="B226" s="72" t="s">
        <v>183</v>
      </c>
      <c r="C226" s="72" t="s">
        <v>184</v>
      </c>
      <c r="D226" s="72" t="s">
        <v>185</v>
      </c>
      <c r="E226" s="72" t="s">
        <v>335</v>
      </c>
      <c r="F226" s="72" t="s">
        <v>186</v>
      </c>
      <c r="G226" s="72" t="s">
        <v>187</v>
      </c>
      <c r="H226" s="72" t="s">
        <v>23</v>
      </c>
      <c r="I226" s="7"/>
    </row>
    <row r="227" spans="1:9" ht="15.75">
      <c r="A227" s="73"/>
      <c r="B227" s="17" t="s">
        <v>188</v>
      </c>
      <c r="C227" s="17" t="s">
        <v>189</v>
      </c>
      <c r="D227" s="17" t="s">
        <v>190</v>
      </c>
      <c r="E227" s="17" t="s">
        <v>336</v>
      </c>
      <c r="F227" s="17" t="s">
        <v>160</v>
      </c>
      <c r="G227" s="74"/>
      <c r="H227" s="74"/>
      <c r="I227" s="7"/>
    </row>
    <row r="228" spans="1:9" ht="24" customHeight="1">
      <c r="A228" s="75" t="s">
        <v>191</v>
      </c>
      <c r="B228" s="81"/>
      <c r="C228" s="76"/>
      <c r="D228" s="76"/>
      <c r="E228" s="76"/>
      <c r="F228" s="76"/>
      <c r="G228" s="76"/>
      <c r="H228" s="76"/>
      <c r="I228" s="7"/>
    </row>
    <row r="229" spans="1:9" ht="24" customHeight="1">
      <c r="A229" s="19" t="s">
        <v>164</v>
      </c>
      <c r="B229" s="82">
        <v>3038689253</v>
      </c>
      <c r="C229" s="26">
        <v>0</v>
      </c>
      <c r="D229" s="26">
        <v>0</v>
      </c>
      <c r="E229" s="26">
        <v>0</v>
      </c>
      <c r="F229" s="26">
        <v>0</v>
      </c>
      <c r="G229" s="26">
        <f>SUM(B229:F229)</f>
        <v>3038689253</v>
      </c>
      <c r="H229" s="26"/>
      <c r="I229" s="7"/>
    </row>
    <row r="230" spans="1:9" ht="24" customHeight="1">
      <c r="A230" s="77" t="s">
        <v>165</v>
      </c>
      <c r="B230" s="29"/>
      <c r="C230" s="29"/>
      <c r="D230" s="29"/>
      <c r="E230" s="29"/>
      <c r="F230" s="29"/>
      <c r="G230" s="78">
        <f>SUM(B230:F230)</f>
        <v>0</v>
      </c>
      <c r="H230" s="78"/>
      <c r="I230" s="7"/>
    </row>
    <row r="231" spans="1:9" ht="24" customHeight="1">
      <c r="A231" s="77" t="s">
        <v>192</v>
      </c>
      <c r="B231" s="29"/>
      <c r="C231" s="29"/>
      <c r="D231" s="29"/>
      <c r="E231" s="29"/>
      <c r="F231" s="29"/>
      <c r="G231" s="78">
        <f>SUM(B231:F231)</f>
        <v>0</v>
      </c>
      <c r="H231" s="78"/>
      <c r="I231" s="7"/>
    </row>
    <row r="232" spans="1:9" ht="24" customHeight="1">
      <c r="A232" s="77" t="s">
        <v>193</v>
      </c>
      <c r="B232" s="29"/>
      <c r="C232" s="29"/>
      <c r="D232" s="29"/>
      <c r="E232" s="29"/>
      <c r="F232" s="29"/>
      <c r="G232" s="78">
        <f>SUM(B232:F232)</f>
        <v>0</v>
      </c>
      <c r="H232" s="78"/>
      <c r="I232" s="7"/>
    </row>
    <row r="233" spans="1:9" ht="24" customHeight="1">
      <c r="A233" s="77" t="s">
        <v>168</v>
      </c>
      <c r="B233" s="29"/>
      <c r="C233" s="29"/>
      <c r="D233" s="29"/>
      <c r="E233" s="29"/>
      <c r="F233" s="29"/>
      <c r="G233" s="78">
        <f>SUM(B233:F233)</f>
        <v>0</v>
      </c>
      <c r="H233" s="78"/>
      <c r="I233" s="7"/>
    </row>
    <row r="234" spans="1:9" ht="24" customHeight="1">
      <c r="A234" s="19" t="s">
        <v>170</v>
      </c>
      <c r="B234" s="82">
        <f aca="true" t="shared" si="3" ref="B234:G234">SUM(B229:B233)</f>
        <v>3038689253</v>
      </c>
      <c r="C234" s="82">
        <f t="shared" si="3"/>
        <v>0</v>
      </c>
      <c r="D234" s="82">
        <f t="shared" si="3"/>
        <v>0</v>
      </c>
      <c r="E234" s="82">
        <f t="shared" si="3"/>
        <v>0</v>
      </c>
      <c r="F234" s="82">
        <f t="shared" si="3"/>
        <v>0</v>
      </c>
      <c r="G234" s="82">
        <f t="shared" si="3"/>
        <v>3038689253</v>
      </c>
      <c r="H234" s="82"/>
      <c r="I234" s="7"/>
    </row>
    <row r="235" spans="1:9" ht="24" customHeight="1">
      <c r="A235" s="79" t="s">
        <v>171</v>
      </c>
      <c r="B235" s="26"/>
      <c r="C235" s="27"/>
      <c r="D235" s="27"/>
      <c r="E235" s="27"/>
      <c r="F235" s="27"/>
      <c r="G235" s="27"/>
      <c r="H235" s="27"/>
      <c r="I235" s="7"/>
    </row>
    <row r="236" spans="1:9" ht="24" customHeight="1">
      <c r="A236" s="19" t="s">
        <v>164</v>
      </c>
      <c r="B236" s="26">
        <v>1077395115</v>
      </c>
      <c r="C236" s="26">
        <v>0</v>
      </c>
      <c r="D236" s="26">
        <v>0</v>
      </c>
      <c r="E236" s="26">
        <v>0</v>
      </c>
      <c r="F236" s="26">
        <v>0</v>
      </c>
      <c r="G236" s="26">
        <f>SUM(B236:F236)</f>
        <v>1077395115</v>
      </c>
      <c r="H236" s="26"/>
      <c r="I236" s="7"/>
    </row>
    <row r="237" spans="1:9" ht="24" customHeight="1">
      <c r="A237" s="77" t="s">
        <v>194</v>
      </c>
      <c r="B237" s="29">
        <f>40753041</f>
        <v>40753041</v>
      </c>
      <c r="C237" s="27"/>
      <c r="D237" s="27"/>
      <c r="E237" s="27"/>
      <c r="F237" s="27"/>
      <c r="G237" s="78">
        <f aca="true" t="shared" si="4" ref="G237:G243">SUM(B237:F237)</f>
        <v>40753041</v>
      </c>
      <c r="H237" s="78"/>
      <c r="I237" s="7"/>
    </row>
    <row r="238" spans="1:9" ht="24" customHeight="1">
      <c r="A238" s="77" t="s">
        <v>168</v>
      </c>
      <c r="B238" s="27"/>
      <c r="C238" s="27"/>
      <c r="D238" s="27"/>
      <c r="E238" s="27"/>
      <c r="F238" s="27"/>
      <c r="G238" s="78">
        <f t="shared" si="4"/>
        <v>0</v>
      </c>
      <c r="H238" s="78"/>
      <c r="I238" s="7"/>
    </row>
    <row r="239" spans="1:9" ht="24" customHeight="1">
      <c r="A239" s="77" t="s">
        <v>169</v>
      </c>
      <c r="B239" s="27"/>
      <c r="C239" s="27"/>
      <c r="D239" s="27"/>
      <c r="E239" s="27"/>
      <c r="F239" s="27"/>
      <c r="G239" s="78">
        <f t="shared" si="4"/>
        <v>0</v>
      </c>
      <c r="H239" s="78"/>
      <c r="I239" s="7"/>
    </row>
    <row r="240" spans="1:9" ht="24" customHeight="1">
      <c r="A240" s="19" t="s">
        <v>170</v>
      </c>
      <c r="B240" s="82">
        <f>B236+B237-B238-B239</f>
        <v>1118148156</v>
      </c>
      <c r="C240" s="82">
        <f>C236+C237-C238-C239</f>
        <v>0</v>
      </c>
      <c r="D240" s="82">
        <f>D236+D237-D238-D239</f>
        <v>0</v>
      </c>
      <c r="E240" s="82">
        <f>E236+E237-E238-E239</f>
        <v>0</v>
      </c>
      <c r="F240" s="82">
        <f>F236+F237-F238-F239</f>
        <v>0</v>
      </c>
      <c r="G240" s="26">
        <f t="shared" si="4"/>
        <v>1118148156</v>
      </c>
      <c r="H240" s="26"/>
      <c r="I240" s="7"/>
    </row>
    <row r="241" spans="1:9" ht="24" customHeight="1">
      <c r="A241" s="79" t="s">
        <v>195</v>
      </c>
      <c r="B241" s="26"/>
      <c r="C241" s="27"/>
      <c r="D241" s="27"/>
      <c r="E241" s="27"/>
      <c r="F241" s="27"/>
      <c r="G241" s="27"/>
      <c r="H241" s="27"/>
      <c r="I241" s="7"/>
    </row>
    <row r="242" spans="1:8" ht="24" customHeight="1">
      <c r="A242" s="83" t="s">
        <v>196</v>
      </c>
      <c r="B242" s="26">
        <f>B229-B236</f>
        <v>1961294138</v>
      </c>
      <c r="C242" s="26">
        <f>C229-C236</f>
        <v>0</v>
      </c>
      <c r="D242" s="26">
        <f>D229-D236</f>
        <v>0</v>
      </c>
      <c r="E242" s="26">
        <f>E229-E236</f>
        <v>0</v>
      </c>
      <c r="F242" s="26">
        <f>F229-F236</f>
        <v>0</v>
      </c>
      <c r="G242" s="26">
        <f t="shared" si="4"/>
        <v>1961294138</v>
      </c>
      <c r="H242" s="26"/>
    </row>
    <row r="243" spans="1:8" ht="24" customHeight="1">
      <c r="A243" s="84" t="s">
        <v>197</v>
      </c>
      <c r="B243" s="80">
        <f>B234-B240</f>
        <v>1920541097</v>
      </c>
      <c r="C243" s="80">
        <f>C234-C240</f>
        <v>0</v>
      </c>
      <c r="D243" s="80">
        <f>D234-D240</f>
        <v>0</v>
      </c>
      <c r="E243" s="80">
        <f>E234-E240</f>
        <v>0</v>
      </c>
      <c r="F243" s="80">
        <f>F234-F240</f>
        <v>0</v>
      </c>
      <c r="G243" s="80">
        <f t="shared" si="4"/>
        <v>1920541097</v>
      </c>
      <c r="H243" s="80"/>
    </row>
    <row r="244" spans="1:8" ht="15.75">
      <c r="A244" s="85"/>
      <c r="B244" s="23"/>
      <c r="C244" s="23"/>
      <c r="D244" s="23"/>
      <c r="E244" s="23"/>
      <c r="F244" s="23"/>
      <c r="G244" s="23"/>
      <c r="H244" s="23"/>
    </row>
    <row r="245" spans="1:8" ht="15.75">
      <c r="A245" s="69" t="s">
        <v>387</v>
      </c>
      <c r="B245" s="23"/>
      <c r="C245" s="23"/>
      <c r="D245" s="23"/>
      <c r="E245" s="23"/>
      <c r="F245" s="23"/>
      <c r="G245" s="23"/>
      <c r="H245" s="23"/>
    </row>
    <row r="246" spans="1:8" ht="15.75">
      <c r="A246" s="86"/>
      <c r="B246" s="49" t="s">
        <v>198</v>
      </c>
      <c r="C246" s="14" t="s">
        <v>94</v>
      </c>
      <c r="D246" s="15" t="s">
        <v>29</v>
      </c>
      <c r="E246" s="23"/>
      <c r="F246" s="23"/>
      <c r="G246" s="23"/>
      <c r="H246" s="23"/>
    </row>
    <row r="247" spans="1:4" ht="18.75" customHeight="1">
      <c r="A247" s="21"/>
      <c r="B247" s="330" t="s">
        <v>597</v>
      </c>
      <c r="C247" s="10">
        <f>270007787</f>
        <v>270007787</v>
      </c>
      <c r="D247" s="10">
        <v>0</v>
      </c>
    </row>
    <row r="248" spans="1:4" ht="18.75" customHeight="1">
      <c r="A248" s="21"/>
      <c r="B248" s="405" t="s">
        <v>684</v>
      </c>
      <c r="C248" s="10">
        <f>10909091</f>
        <v>10909091</v>
      </c>
      <c r="D248" s="10">
        <v>0</v>
      </c>
    </row>
    <row r="249" spans="1:4" ht="18.75" customHeight="1">
      <c r="A249" s="21"/>
      <c r="B249" s="405" t="s">
        <v>685</v>
      </c>
      <c r="C249" s="10">
        <f>130661401</f>
        <v>130661401</v>
      </c>
      <c r="D249" s="10">
        <v>0</v>
      </c>
    </row>
    <row r="250" spans="1:4" ht="18.75" customHeight="1">
      <c r="A250" s="21"/>
      <c r="B250" s="405" t="s">
        <v>682</v>
      </c>
      <c r="C250" s="10">
        <f>1631800000</f>
        <v>1631800000</v>
      </c>
      <c r="D250" s="10">
        <v>0</v>
      </c>
    </row>
    <row r="251" spans="1:4" ht="18.75" customHeight="1">
      <c r="A251" s="21"/>
      <c r="B251" s="331" t="s">
        <v>683</v>
      </c>
      <c r="C251" s="10">
        <f>6704045210</f>
        <v>6704045210</v>
      </c>
      <c r="D251" s="10">
        <v>0</v>
      </c>
    </row>
    <row r="252" spans="1:4" ht="18.75" customHeight="1">
      <c r="A252" s="21"/>
      <c r="B252" s="334" t="s">
        <v>686</v>
      </c>
      <c r="C252" s="10">
        <f>2176399649</f>
        <v>2176399649</v>
      </c>
      <c r="D252" s="10">
        <v>0</v>
      </c>
    </row>
    <row r="253" spans="1:4" ht="18.75" customHeight="1">
      <c r="A253" s="21"/>
      <c r="B253" s="332" t="s">
        <v>598</v>
      </c>
      <c r="C253" s="10">
        <v>0</v>
      </c>
      <c r="D253" s="10">
        <v>28179000</v>
      </c>
    </row>
    <row r="254" spans="1:4" ht="18.75" customHeight="1">
      <c r="A254" s="21"/>
      <c r="B254" s="332" t="s">
        <v>329</v>
      </c>
      <c r="C254" s="10">
        <v>0</v>
      </c>
      <c r="D254" s="265">
        <v>41926000</v>
      </c>
    </row>
    <row r="255" spans="1:4" ht="18.75" customHeight="1">
      <c r="A255" s="21"/>
      <c r="B255" s="332" t="s">
        <v>340</v>
      </c>
      <c r="C255" s="10">
        <v>0</v>
      </c>
      <c r="D255" s="28">
        <v>78313791</v>
      </c>
    </row>
    <row r="256" spans="1:4" ht="18.75" customHeight="1">
      <c r="A256" s="21"/>
      <c r="B256" s="332" t="s">
        <v>599</v>
      </c>
      <c r="C256" s="10">
        <v>0</v>
      </c>
      <c r="D256" s="28">
        <v>36861000</v>
      </c>
    </row>
    <row r="257" spans="1:4" ht="18.75" customHeight="1">
      <c r="A257" s="21"/>
      <c r="B257" s="332" t="s">
        <v>600</v>
      </c>
      <c r="C257" s="10">
        <v>0</v>
      </c>
      <c r="D257" s="28">
        <v>54047514</v>
      </c>
    </row>
    <row r="258" spans="1:4" ht="18.75" customHeight="1">
      <c r="A258" s="64"/>
      <c r="B258" s="15" t="s">
        <v>143</v>
      </c>
      <c r="C258" s="51">
        <f>SUM(C247:C257)</f>
        <v>10923823138</v>
      </c>
      <c r="D258" s="51">
        <f>SUM(D247:D257)</f>
        <v>239327305</v>
      </c>
    </row>
    <row r="259" spans="1:4" ht="18.75" customHeight="1">
      <c r="A259" s="69"/>
      <c r="B259" s="7"/>
      <c r="C259" s="22"/>
      <c r="D259" s="22"/>
    </row>
    <row r="260" spans="1:4" ht="18.75" customHeight="1">
      <c r="A260" s="58" t="s">
        <v>388</v>
      </c>
      <c r="B260" s="183"/>
      <c r="C260" s="14" t="s">
        <v>94</v>
      </c>
      <c r="D260" s="15" t="s">
        <v>29</v>
      </c>
    </row>
    <row r="261" spans="1:4" ht="18.75" customHeight="1">
      <c r="A261" s="21"/>
      <c r="B261" s="186" t="s">
        <v>325</v>
      </c>
      <c r="C261" s="10">
        <v>0</v>
      </c>
      <c r="D261" s="10">
        <v>31403711.375</v>
      </c>
    </row>
    <row r="262" spans="1:4" ht="18.75" customHeight="1">
      <c r="A262" s="21"/>
      <c r="B262" s="186" t="s">
        <v>326</v>
      </c>
      <c r="C262" s="10">
        <v>0</v>
      </c>
      <c r="D262" s="10">
        <v>131145720.75</v>
      </c>
    </row>
    <row r="263" spans="1:4" ht="18.75" customHeight="1">
      <c r="A263" s="21"/>
      <c r="B263" s="186" t="s">
        <v>327</v>
      </c>
      <c r="C263" s="10">
        <v>0</v>
      </c>
      <c r="D263" s="10">
        <v>36908043.75</v>
      </c>
    </row>
    <row r="264" spans="1:5" ht="18.75" customHeight="1">
      <c r="A264" s="21"/>
      <c r="B264" s="186" t="s">
        <v>365</v>
      </c>
      <c r="C264" s="10">
        <v>73514053.01367188</v>
      </c>
      <c r="D264" s="10">
        <v>163012479.375</v>
      </c>
      <c r="E264" s="2">
        <f>E265-C264</f>
        <v>791230831.9863281</v>
      </c>
    </row>
    <row r="265" spans="1:5" ht="18.75" customHeight="1">
      <c r="A265" s="21"/>
      <c r="B265" s="186" t="s">
        <v>277</v>
      </c>
      <c r="C265" s="10">
        <v>623236614</v>
      </c>
      <c r="D265" s="10">
        <v>639222330</v>
      </c>
      <c r="E265" s="2">
        <f>864744885</f>
        <v>864744885</v>
      </c>
    </row>
    <row r="266" spans="1:4" ht="18.75" customHeight="1">
      <c r="A266" s="64"/>
      <c r="B266" s="15" t="s">
        <v>143</v>
      </c>
      <c r="C266" s="51">
        <f>SUM(C261:C265)</f>
        <v>696750667.0136719</v>
      </c>
      <c r="D266" s="51">
        <f>SUM(D261:D265)</f>
        <v>1001692285.25</v>
      </c>
    </row>
    <row r="267" spans="1:4" ht="18.75" customHeight="1">
      <c r="A267" s="217"/>
      <c r="B267" s="49"/>
      <c r="C267" s="218"/>
      <c r="D267" s="218"/>
    </row>
    <row r="268" spans="1:4" ht="18.75" customHeight="1">
      <c r="A268" s="58" t="s">
        <v>389</v>
      </c>
      <c r="B268" s="7"/>
      <c r="C268" s="90" t="str">
        <f>C278</f>
        <v>Sè cuèi kú</v>
      </c>
      <c r="D268" s="90" t="str">
        <f>D278</f>
        <v>Sè ®Çu n¨m</v>
      </c>
    </row>
    <row r="269" spans="1:4" ht="18.75" customHeight="1">
      <c r="A269" s="185"/>
      <c r="B269" s="214" t="s">
        <v>278</v>
      </c>
      <c r="C269" s="98">
        <f>30805832011</f>
        <v>30805832011</v>
      </c>
      <c r="D269" s="98">
        <v>18807149357</v>
      </c>
    </row>
    <row r="270" spans="1:4" ht="18.75" customHeight="1">
      <c r="A270" s="253"/>
      <c r="B270" s="30" t="s">
        <v>356</v>
      </c>
      <c r="C270" s="76">
        <v>0</v>
      </c>
      <c r="D270" s="76">
        <v>1480150300</v>
      </c>
    </row>
    <row r="271" spans="1:4" ht="18.75" customHeight="1">
      <c r="A271" s="253"/>
      <c r="B271" s="30" t="s">
        <v>687</v>
      </c>
      <c r="C271" s="76">
        <f>3829771897</f>
        <v>3829771897</v>
      </c>
      <c r="D271" s="76">
        <v>0</v>
      </c>
    </row>
    <row r="272" spans="1:4" ht="18.75" customHeight="1">
      <c r="A272" s="253"/>
      <c r="B272" s="30" t="s">
        <v>366</v>
      </c>
      <c r="C272" s="76">
        <f>13650632266</f>
        <v>13650632266</v>
      </c>
      <c r="D272" s="76">
        <v>8135303554</v>
      </c>
    </row>
    <row r="273" spans="1:4" ht="18.75" customHeight="1">
      <c r="A273" s="21"/>
      <c r="B273" s="30" t="s">
        <v>324</v>
      </c>
      <c r="C273" s="27">
        <v>10000000000</v>
      </c>
      <c r="D273" s="27">
        <v>10000000000</v>
      </c>
    </row>
    <row r="274" spans="1:4" ht="18.75" customHeight="1">
      <c r="A274" s="21"/>
      <c r="B274" s="30" t="s">
        <v>355</v>
      </c>
      <c r="C274" s="27">
        <v>10000000000</v>
      </c>
      <c r="D274" s="27">
        <v>10000000000</v>
      </c>
    </row>
    <row r="275" spans="1:4" ht="18.75" customHeight="1">
      <c r="A275" s="184"/>
      <c r="B275" s="95" t="s">
        <v>357</v>
      </c>
      <c r="C275" s="31">
        <v>2380883341</v>
      </c>
      <c r="D275" s="31">
        <v>925300388</v>
      </c>
    </row>
    <row r="276" spans="1:4" ht="18.75" customHeight="1">
      <c r="A276" s="64"/>
      <c r="B276" s="15" t="s">
        <v>143</v>
      </c>
      <c r="C276" s="51">
        <f>SUM(C269:C275)</f>
        <v>70667119515</v>
      </c>
      <c r="D276" s="51">
        <f>SUM(D269:D275)</f>
        <v>49347903599</v>
      </c>
    </row>
    <row r="277" spans="1:4" ht="18.75" customHeight="1">
      <c r="A277" s="7"/>
      <c r="B277" s="22"/>
      <c r="C277" s="23"/>
      <c r="D277" s="23"/>
    </row>
    <row r="278" spans="1:4" ht="18.75" customHeight="1">
      <c r="A278" s="58" t="s">
        <v>391</v>
      </c>
      <c r="B278" s="59"/>
      <c r="C278" s="15" t="str">
        <f>C246</f>
        <v>Sè cuèi kú</v>
      </c>
      <c r="D278" s="15" t="str">
        <f>D246</f>
        <v>Sè ®Çu n¨m</v>
      </c>
    </row>
    <row r="279" spans="1:4" ht="18.75" customHeight="1">
      <c r="A279" s="53"/>
      <c r="B279" s="54" t="s">
        <v>350</v>
      </c>
      <c r="C279" s="10">
        <v>0</v>
      </c>
      <c r="D279" s="10">
        <v>900582019</v>
      </c>
    </row>
    <row r="280" spans="1:4" ht="18.75" customHeight="1">
      <c r="A280" s="53"/>
      <c r="B280" s="54" t="s">
        <v>317</v>
      </c>
      <c r="C280" s="10">
        <v>16757377</v>
      </c>
      <c r="D280" s="10">
        <v>111411992</v>
      </c>
    </row>
    <row r="281" spans="1:4" ht="18.75" customHeight="1">
      <c r="A281" s="53"/>
      <c r="B281" s="54" t="s">
        <v>341</v>
      </c>
      <c r="C281" s="10">
        <v>109569365</v>
      </c>
      <c r="D281" s="10">
        <v>17972812</v>
      </c>
    </row>
    <row r="282" spans="1:4" ht="18.75" customHeight="1">
      <c r="A282" s="46"/>
      <c r="B282" s="47" t="s">
        <v>0</v>
      </c>
      <c r="C282" s="222">
        <f>617720261</f>
        <v>617720261</v>
      </c>
      <c r="D282" s="222">
        <v>700468562</v>
      </c>
    </row>
    <row r="283" spans="1:4" ht="18.75" customHeight="1">
      <c r="A283" s="46"/>
      <c r="B283" s="47" t="s">
        <v>1</v>
      </c>
      <c r="C283" s="10">
        <v>66099739</v>
      </c>
      <c r="D283" s="10">
        <v>239090043</v>
      </c>
    </row>
    <row r="284" spans="1:4" ht="18.75" customHeight="1">
      <c r="A284" s="64"/>
      <c r="B284" s="15" t="s">
        <v>143</v>
      </c>
      <c r="C284" s="65">
        <f>SUM(C279:C283)</f>
        <v>810146742</v>
      </c>
      <c r="D284" s="65">
        <f>SUM(D279:D283)</f>
        <v>1969525428</v>
      </c>
    </row>
    <row r="285" spans="1:4" ht="18.75" customHeight="1">
      <c r="A285" s="243"/>
      <c r="B285" s="417"/>
      <c r="C285" s="418"/>
      <c r="D285" s="418"/>
    </row>
    <row r="286" spans="1:4" ht="18.75" customHeight="1">
      <c r="A286" s="414"/>
      <c r="B286" s="415"/>
      <c r="C286" s="416"/>
      <c r="D286" s="416"/>
    </row>
    <row r="287" spans="1:4" ht="18.75" customHeight="1">
      <c r="A287" s="58" t="s">
        <v>392</v>
      </c>
      <c r="B287" s="59"/>
      <c r="C287" s="87" t="str">
        <f>C278</f>
        <v>Sè cuèi kú</v>
      </c>
      <c r="D287" s="87" t="str">
        <f>D278</f>
        <v>Sè ®Çu n¨m</v>
      </c>
    </row>
    <row r="288" spans="1:9" ht="21" customHeight="1">
      <c r="A288" s="46"/>
      <c r="B288" s="47" t="s">
        <v>263</v>
      </c>
      <c r="C288" s="27">
        <v>3070875500</v>
      </c>
      <c r="D288" s="27">
        <v>3070875500</v>
      </c>
      <c r="F288" s="7"/>
      <c r="G288" s="99"/>
      <c r="H288" s="7"/>
      <c r="I288" s="7"/>
    </row>
    <row r="289" spans="1:9" ht="21" customHeight="1">
      <c r="A289" s="46"/>
      <c r="B289" s="47" t="s">
        <v>318</v>
      </c>
      <c r="C289" s="27">
        <v>74000000</v>
      </c>
      <c r="D289" s="27">
        <v>79407962</v>
      </c>
      <c r="F289" s="7"/>
      <c r="G289" s="99"/>
      <c r="H289" s="7"/>
      <c r="I289" s="7"/>
    </row>
    <row r="290" spans="1:9" ht="21" customHeight="1">
      <c r="A290" s="62"/>
      <c r="B290" s="47" t="s">
        <v>371</v>
      </c>
      <c r="C290" s="230">
        <v>44381445</v>
      </c>
      <c r="D290" s="230">
        <v>32514214</v>
      </c>
      <c r="F290" s="7"/>
      <c r="G290" s="99"/>
      <c r="H290" s="7"/>
      <c r="I290" s="7"/>
    </row>
    <row r="291" spans="1:9" ht="21" customHeight="1">
      <c r="A291" s="62"/>
      <c r="B291" s="47" t="s">
        <v>688</v>
      </c>
      <c r="C291" s="230">
        <f>5106363</f>
        <v>5106363</v>
      </c>
      <c r="D291" s="230">
        <v>0</v>
      </c>
      <c r="F291" s="7"/>
      <c r="G291" s="99"/>
      <c r="H291" s="7"/>
      <c r="I291" s="7"/>
    </row>
    <row r="292" spans="1:9" ht="21" customHeight="1">
      <c r="A292" s="62"/>
      <c r="B292" s="47" t="s">
        <v>396</v>
      </c>
      <c r="C292" s="230">
        <v>0</v>
      </c>
      <c r="D292" s="230">
        <v>27000000</v>
      </c>
      <c r="F292" s="7"/>
      <c r="G292" s="99"/>
      <c r="H292" s="7"/>
      <c r="I292" s="7"/>
    </row>
    <row r="293" spans="1:9" ht="21" customHeight="1">
      <c r="A293" s="62"/>
      <c r="B293" s="47" t="s">
        <v>372</v>
      </c>
      <c r="C293" s="230">
        <v>0</v>
      </c>
      <c r="D293" s="230">
        <v>60000000</v>
      </c>
      <c r="F293" s="7"/>
      <c r="G293" s="99"/>
      <c r="H293" s="7"/>
      <c r="I293" s="7"/>
    </row>
    <row r="294" spans="1:9" ht="21" customHeight="1">
      <c r="A294" s="62"/>
      <c r="B294" s="47" t="s">
        <v>370</v>
      </c>
      <c r="C294" s="230">
        <v>0</v>
      </c>
      <c r="D294" s="230">
        <v>67461690</v>
      </c>
      <c r="F294" s="7"/>
      <c r="G294" s="99"/>
      <c r="H294" s="7"/>
      <c r="I294" s="7"/>
    </row>
    <row r="295" spans="1:4" ht="21" customHeight="1">
      <c r="A295" s="62"/>
      <c r="B295" s="47" t="s">
        <v>708</v>
      </c>
      <c r="C295" s="230">
        <v>0</v>
      </c>
      <c r="D295" s="230">
        <v>179934290</v>
      </c>
    </row>
    <row r="296" spans="1:4" ht="21" customHeight="1">
      <c r="A296" s="62"/>
      <c r="B296" s="47" t="s">
        <v>393</v>
      </c>
      <c r="C296" s="230">
        <v>0</v>
      </c>
      <c r="D296" s="230">
        <v>5908302</v>
      </c>
    </row>
    <row r="297" spans="1:4" ht="21" customHeight="1">
      <c r="A297" s="62"/>
      <c r="B297" s="47" t="s">
        <v>394</v>
      </c>
      <c r="C297" s="230">
        <v>0</v>
      </c>
      <c r="D297" s="230">
        <v>46515473</v>
      </c>
    </row>
    <row r="298" spans="1:4" ht="21" customHeight="1">
      <c r="A298" s="62"/>
      <c r="B298" s="47" t="s">
        <v>395</v>
      </c>
      <c r="C298" s="230">
        <v>0</v>
      </c>
      <c r="D298" s="230">
        <v>100877954</v>
      </c>
    </row>
    <row r="299" spans="1:4" ht="21" customHeight="1">
      <c r="A299" s="62"/>
      <c r="B299" s="47" t="s">
        <v>689</v>
      </c>
      <c r="C299" s="230">
        <f>104727273</f>
        <v>104727273</v>
      </c>
      <c r="D299" s="230">
        <v>0</v>
      </c>
    </row>
    <row r="300" spans="1:5" ht="21" customHeight="1">
      <c r="A300" s="64"/>
      <c r="B300" s="15" t="s">
        <v>143</v>
      </c>
      <c r="C300" s="51">
        <f>SUM(C288:C299)</f>
        <v>3299090581</v>
      </c>
      <c r="D300" s="51">
        <f>SUM(D288:D299)</f>
        <v>3670495385</v>
      </c>
      <c r="E300" s="2">
        <f>3362472142</f>
        <v>3362472142</v>
      </c>
    </row>
    <row r="301" spans="1:5" ht="18.75" customHeight="1">
      <c r="A301" s="217"/>
      <c r="B301" s="49"/>
      <c r="C301" s="218"/>
      <c r="D301" s="218"/>
      <c r="E301" s="2">
        <f>E300-C300</f>
        <v>63381561</v>
      </c>
    </row>
    <row r="302" spans="1:4" ht="18.75" customHeight="1">
      <c r="A302" s="88" t="s">
        <v>530</v>
      </c>
      <c r="B302" s="89"/>
      <c r="C302" s="90" t="str">
        <f>C287</f>
        <v>Sè cuèi kú</v>
      </c>
      <c r="D302" s="90" t="str">
        <f>D287</f>
        <v>Sè ®Çu n¨m</v>
      </c>
    </row>
    <row r="303" spans="1:4" ht="20.25" customHeight="1">
      <c r="A303" s="44"/>
      <c r="B303" s="45" t="s">
        <v>199</v>
      </c>
      <c r="C303" s="60">
        <v>65600000</v>
      </c>
      <c r="D303" s="60">
        <v>65600000</v>
      </c>
    </row>
    <row r="304" spans="1:4" ht="20.25" customHeight="1">
      <c r="A304" s="46"/>
      <c r="B304" s="47" t="s">
        <v>200</v>
      </c>
      <c r="C304" s="10">
        <v>71834300</v>
      </c>
      <c r="D304" s="10">
        <v>69593630</v>
      </c>
    </row>
    <row r="305" spans="1:4" ht="20.25" customHeight="1">
      <c r="A305" s="46"/>
      <c r="B305" s="47" t="s">
        <v>201</v>
      </c>
      <c r="C305" s="10">
        <v>84379816</v>
      </c>
      <c r="D305" s="10">
        <v>89322919</v>
      </c>
    </row>
    <row r="306" spans="1:4" ht="20.25" customHeight="1">
      <c r="A306" s="55"/>
      <c r="B306" s="56" t="s">
        <v>319</v>
      </c>
      <c r="C306" s="57">
        <v>4390300</v>
      </c>
      <c r="D306" s="57">
        <v>6490300</v>
      </c>
    </row>
    <row r="307" spans="1:4" ht="20.25" customHeight="1">
      <c r="A307" s="64"/>
      <c r="B307" s="15" t="s">
        <v>143</v>
      </c>
      <c r="C307" s="65">
        <f>SUM(C303:C306)</f>
        <v>226204416</v>
      </c>
      <c r="D307" s="65">
        <f>SUM(D303:D306)</f>
        <v>231006849</v>
      </c>
    </row>
    <row r="308" spans="1:4" ht="20.25" customHeight="1">
      <c r="A308" s="217"/>
      <c r="B308" s="49"/>
      <c r="C308" s="218"/>
      <c r="D308" s="218"/>
    </row>
    <row r="309" spans="1:4" ht="20.25" customHeight="1">
      <c r="A309" s="297" t="s">
        <v>531</v>
      </c>
      <c r="B309" s="126"/>
      <c r="C309" s="14" t="s">
        <v>94</v>
      </c>
      <c r="D309" s="14" t="s">
        <v>29</v>
      </c>
    </row>
    <row r="310" spans="1:4" ht="20.25" customHeight="1">
      <c r="A310" s="44"/>
      <c r="B310" s="298" t="s">
        <v>532</v>
      </c>
      <c r="C310" s="60">
        <v>0</v>
      </c>
      <c r="D310" s="60">
        <v>35127272727</v>
      </c>
    </row>
    <row r="311" spans="1:4" ht="20.25" customHeight="1">
      <c r="A311" s="46"/>
      <c r="B311" s="299" t="s">
        <v>533</v>
      </c>
      <c r="C311" s="9">
        <v>0</v>
      </c>
      <c r="D311" s="9">
        <v>40000000</v>
      </c>
    </row>
    <row r="312" spans="1:4" ht="20.25" customHeight="1">
      <c r="A312" s="64"/>
      <c r="B312" s="15" t="s">
        <v>143</v>
      </c>
      <c r="C312" s="65">
        <f>SUM(C308:C311)</f>
        <v>0</v>
      </c>
      <c r="D312" s="65">
        <f>SUM(D308:D311)</f>
        <v>35167272727</v>
      </c>
    </row>
    <row r="313" spans="1:4" ht="20.25" customHeight="1">
      <c r="A313" s="69"/>
      <c r="B313" s="7"/>
      <c r="C313" s="22"/>
      <c r="D313" s="22"/>
    </row>
    <row r="314" spans="1:4" ht="20.25" customHeight="1">
      <c r="A314" s="300" t="s">
        <v>534</v>
      </c>
      <c r="B314" s="59"/>
      <c r="C314" s="15" t="str">
        <f>C302</f>
        <v>Sè cuèi kú</v>
      </c>
      <c r="D314" s="15" t="str">
        <f>D302</f>
        <v>Sè ®Çu n¨m</v>
      </c>
    </row>
    <row r="315" spans="1:4" ht="20.25" customHeight="1">
      <c r="A315" s="62"/>
      <c r="B315" s="63" t="s">
        <v>373</v>
      </c>
      <c r="C315" s="13">
        <v>600000000</v>
      </c>
      <c r="D315" s="13">
        <v>600000000</v>
      </c>
    </row>
    <row r="316" spans="1:4" ht="18.75" customHeight="1">
      <c r="A316" s="64"/>
      <c r="B316" s="15" t="s">
        <v>143</v>
      </c>
      <c r="C316" s="65">
        <f>SUM(C315)</f>
        <v>600000000</v>
      </c>
      <c r="D316" s="65">
        <f>SUM(D315)</f>
        <v>600000000</v>
      </c>
    </row>
    <row r="317" spans="1:4" ht="18.75" customHeight="1">
      <c r="A317" s="69"/>
      <c r="B317" s="22"/>
      <c r="C317" s="23"/>
      <c r="D317" s="23"/>
    </row>
    <row r="318" spans="1:4" ht="18.75" customHeight="1">
      <c r="A318" s="58" t="s">
        <v>535</v>
      </c>
      <c r="B318" s="59"/>
      <c r="C318" s="15" t="str">
        <f>C314</f>
        <v>Sè cuèi kú</v>
      </c>
      <c r="D318" s="15" t="str">
        <f>D314</f>
        <v>Sè ®Çu n¨m</v>
      </c>
    </row>
    <row r="319" spans="1:4" ht="21" customHeight="1">
      <c r="A319" s="44" t="s">
        <v>537</v>
      </c>
      <c r="B319" s="60"/>
      <c r="C319" s="275">
        <f>C320+C321</f>
        <v>11613564250</v>
      </c>
      <c r="D319" s="275">
        <f>D320+D321</f>
        <v>455492098</v>
      </c>
    </row>
    <row r="320" spans="1:4" ht="21" customHeight="1">
      <c r="A320" s="46"/>
      <c r="B320" s="91" t="s">
        <v>367</v>
      </c>
      <c r="C320" s="12">
        <v>24105000000</v>
      </c>
      <c r="D320" s="12">
        <v>2400000000</v>
      </c>
    </row>
    <row r="321" spans="1:4" ht="21" customHeight="1">
      <c r="A321" s="46"/>
      <c r="B321" s="91" t="s">
        <v>368</v>
      </c>
      <c r="C321" s="270">
        <v>-12491435750</v>
      </c>
      <c r="D321" s="270">
        <f>-750497227-1194010675</f>
        <v>-1944507902</v>
      </c>
    </row>
    <row r="322" spans="1:4" ht="21" customHeight="1">
      <c r="A322" s="62" t="s">
        <v>538</v>
      </c>
      <c r="B322" s="92"/>
      <c r="C322" s="35">
        <v>611141300</v>
      </c>
      <c r="D322" s="35">
        <v>0</v>
      </c>
    </row>
    <row r="323" spans="1:4" ht="19.5" customHeight="1">
      <c r="A323" s="64"/>
      <c r="B323" s="15" t="s">
        <v>143</v>
      </c>
      <c r="C323" s="65">
        <f>C322+C319</f>
        <v>12224705550</v>
      </c>
      <c r="D323" s="65">
        <f>D322+D319</f>
        <v>455492098</v>
      </c>
    </row>
    <row r="324" spans="1:4" ht="15.75">
      <c r="A324" s="7"/>
      <c r="B324" s="22"/>
      <c r="C324" s="23"/>
      <c r="D324" s="23"/>
    </row>
    <row r="325" ht="15.75">
      <c r="A325" s="38" t="s">
        <v>536</v>
      </c>
    </row>
    <row r="326" ht="15.75">
      <c r="A326" s="6" t="s">
        <v>202</v>
      </c>
    </row>
    <row r="327" ht="15.75">
      <c r="A327" s="6"/>
    </row>
    <row r="328" spans="1:10" s="174" customFormat="1" ht="15">
      <c r="A328" s="316"/>
      <c r="B328" s="316" t="s">
        <v>203</v>
      </c>
      <c r="C328" s="316" t="s">
        <v>204</v>
      </c>
      <c r="D328" s="316" t="s">
        <v>205</v>
      </c>
      <c r="E328" s="316" t="s">
        <v>337</v>
      </c>
      <c r="F328" s="316" t="s">
        <v>206</v>
      </c>
      <c r="G328" s="316" t="s">
        <v>206</v>
      </c>
      <c r="H328" s="316"/>
      <c r="I328" s="316" t="s">
        <v>93</v>
      </c>
      <c r="J328" s="316"/>
    </row>
    <row r="329" spans="1:10" s="174" customFormat="1" ht="15">
      <c r="A329" s="317" t="s">
        <v>157</v>
      </c>
      <c r="B329" s="317" t="s">
        <v>207</v>
      </c>
      <c r="C329" s="317" t="s">
        <v>208</v>
      </c>
      <c r="D329" s="317" t="s">
        <v>209</v>
      </c>
      <c r="E329" s="317" t="s">
        <v>338</v>
      </c>
      <c r="F329" s="317" t="s">
        <v>210</v>
      </c>
      <c r="G329" s="317" t="s">
        <v>211</v>
      </c>
      <c r="H329" s="317" t="s">
        <v>212</v>
      </c>
      <c r="I329" s="317" t="s">
        <v>213</v>
      </c>
      <c r="J329" s="317" t="s">
        <v>143</v>
      </c>
    </row>
    <row r="330" spans="1:10" s="174" customFormat="1" ht="15">
      <c r="A330" s="318"/>
      <c r="B330" s="318" t="s">
        <v>214</v>
      </c>
      <c r="C330" s="318" t="s">
        <v>215</v>
      </c>
      <c r="D330" s="318" t="s">
        <v>214</v>
      </c>
      <c r="E330" s="318" t="s">
        <v>339</v>
      </c>
      <c r="F330" s="318" t="s">
        <v>216</v>
      </c>
      <c r="G330" s="318" t="s">
        <v>217</v>
      </c>
      <c r="H330" s="318"/>
      <c r="I330" s="318" t="s">
        <v>218</v>
      </c>
      <c r="J330" s="318"/>
    </row>
    <row r="331" spans="1:10" s="1" customFormat="1" ht="18" customHeight="1">
      <c r="A331" s="14" t="s">
        <v>219</v>
      </c>
      <c r="B331" s="14">
        <v>1</v>
      </c>
      <c r="C331" s="14">
        <v>2</v>
      </c>
      <c r="D331" s="14">
        <v>3</v>
      </c>
      <c r="E331" s="14">
        <v>4</v>
      </c>
      <c r="F331" s="14">
        <v>5</v>
      </c>
      <c r="G331" s="14">
        <v>6</v>
      </c>
      <c r="H331" s="14">
        <v>7</v>
      </c>
      <c r="I331" s="14">
        <v>8</v>
      </c>
      <c r="J331" s="14">
        <v>9</v>
      </c>
    </row>
    <row r="332" spans="1:10" ht="23.25" customHeight="1">
      <c r="A332" s="301" t="s">
        <v>539</v>
      </c>
      <c r="B332" s="51">
        <v>27586800000</v>
      </c>
      <c r="C332" s="51">
        <v>4121612131</v>
      </c>
      <c r="D332" s="51">
        <v>17414771596</v>
      </c>
      <c r="E332" s="51">
        <v>0</v>
      </c>
      <c r="F332" s="51">
        <v>0</v>
      </c>
      <c r="G332" s="51">
        <v>0</v>
      </c>
      <c r="H332" s="51">
        <v>0</v>
      </c>
      <c r="I332" s="51">
        <v>0</v>
      </c>
      <c r="J332" s="51">
        <f>SUM(B332:I332)</f>
        <v>49123183727</v>
      </c>
    </row>
    <row r="333" spans="1:10" ht="23.25" customHeight="1">
      <c r="A333" s="97" t="s">
        <v>220</v>
      </c>
      <c r="B333" s="235"/>
      <c r="C333" s="235"/>
      <c r="D333" s="235">
        <v>1000000000</v>
      </c>
      <c r="E333" s="235"/>
      <c r="F333" s="235"/>
      <c r="G333" s="235"/>
      <c r="H333" s="235"/>
      <c r="I333" s="235"/>
      <c r="J333" s="236">
        <f aca="true" t="shared" si="5" ref="J333:J338">SUM(B333:I333)</f>
        <v>1000000000</v>
      </c>
    </row>
    <row r="334" spans="1:10" ht="23.25" customHeight="1">
      <c r="A334" s="30" t="s">
        <v>221</v>
      </c>
      <c r="B334" s="29"/>
      <c r="C334" s="29"/>
      <c r="D334" s="29">
        <v>8541723180</v>
      </c>
      <c r="E334" s="29"/>
      <c r="F334" s="29"/>
      <c r="G334" s="29"/>
      <c r="H334" s="29"/>
      <c r="I334" s="29"/>
      <c r="J334" s="78">
        <f t="shared" si="5"/>
        <v>8541723180</v>
      </c>
    </row>
    <row r="335" spans="1:10" ht="23.25" customHeight="1">
      <c r="A335" s="30" t="s">
        <v>167</v>
      </c>
      <c r="B335" s="29"/>
      <c r="C335" s="29"/>
      <c r="D335" s="29"/>
      <c r="E335" s="29"/>
      <c r="F335" s="29"/>
      <c r="G335" s="29"/>
      <c r="H335" s="29"/>
      <c r="I335" s="29"/>
      <c r="J335" s="78">
        <f t="shared" si="5"/>
        <v>0</v>
      </c>
    </row>
    <row r="336" spans="1:10" ht="23.25" customHeight="1">
      <c r="A336" s="30" t="s">
        <v>222</v>
      </c>
      <c r="B336" s="211"/>
      <c r="C336" s="29"/>
      <c r="D336" s="29"/>
      <c r="E336" s="29"/>
      <c r="F336" s="29"/>
      <c r="G336" s="29"/>
      <c r="H336" s="29"/>
      <c r="I336" s="29"/>
      <c r="J336" s="78">
        <f t="shared" si="5"/>
        <v>0</v>
      </c>
    </row>
    <row r="337" spans="1:10" ht="23.25" customHeight="1">
      <c r="A337" s="94" t="s">
        <v>223</v>
      </c>
      <c r="B337" s="29"/>
      <c r="C337" s="29"/>
      <c r="D337" s="29"/>
      <c r="E337" s="29"/>
      <c r="F337" s="29"/>
      <c r="G337" s="29"/>
      <c r="H337" s="29"/>
      <c r="I337" s="29"/>
      <c r="J337" s="78">
        <f t="shared" si="5"/>
        <v>0</v>
      </c>
    </row>
    <row r="338" spans="1:10" ht="23.25" customHeight="1">
      <c r="A338" s="302" t="s">
        <v>542</v>
      </c>
      <c r="B338" s="29"/>
      <c r="C338" s="29"/>
      <c r="D338" s="211">
        <v>-2165000000</v>
      </c>
      <c r="E338" s="29"/>
      <c r="F338" s="29"/>
      <c r="G338" s="237"/>
      <c r="H338" s="29"/>
      <c r="I338" s="29"/>
      <c r="J338" s="238">
        <f t="shared" si="5"/>
        <v>-2165000000</v>
      </c>
    </row>
    <row r="339" spans="1:10" ht="23.25" customHeight="1">
      <c r="A339" s="301" t="s">
        <v>540</v>
      </c>
      <c r="B339" s="96">
        <f>SUM(B332:B338)</f>
        <v>27586800000</v>
      </c>
      <c r="C339" s="96">
        <f aca="true" t="shared" si="6" ref="C339:J339">SUM(C332:C338)</f>
        <v>4121612131</v>
      </c>
      <c r="D339" s="96">
        <f t="shared" si="6"/>
        <v>24791494776</v>
      </c>
      <c r="E339" s="96">
        <v>0</v>
      </c>
      <c r="F339" s="96">
        <f t="shared" si="6"/>
        <v>0</v>
      </c>
      <c r="G339" s="96">
        <f t="shared" si="6"/>
        <v>0</v>
      </c>
      <c r="H339" s="96">
        <f t="shared" si="6"/>
        <v>0</v>
      </c>
      <c r="I339" s="96">
        <f t="shared" si="6"/>
        <v>0</v>
      </c>
      <c r="J339" s="96">
        <f t="shared" si="6"/>
        <v>56499906907</v>
      </c>
    </row>
    <row r="340" spans="1:10" ht="23.25" customHeight="1">
      <c r="A340" s="301" t="s">
        <v>541</v>
      </c>
      <c r="B340" s="96">
        <f>B339</f>
        <v>27586800000</v>
      </c>
      <c r="C340" s="96">
        <f>C339</f>
        <v>4121612131</v>
      </c>
      <c r="D340" s="51">
        <f>D339</f>
        <v>24791494776</v>
      </c>
      <c r="E340" s="96">
        <v>0</v>
      </c>
      <c r="F340" s="96">
        <f>SUM(F333:F336)-SUM(F337:F339)</f>
        <v>0</v>
      </c>
      <c r="G340" s="96">
        <f>SUM(G333:G339)</f>
        <v>0</v>
      </c>
      <c r="H340" s="96">
        <f>SUM(H333:H339)</f>
        <v>0</v>
      </c>
      <c r="I340" s="96">
        <f>SUM(I333:I339)</f>
        <v>0</v>
      </c>
      <c r="J340" s="51">
        <f>J339</f>
        <v>56499906907</v>
      </c>
    </row>
    <row r="341" spans="1:12" ht="23.25" customHeight="1">
      <c r="A341" s="97" t="s">
        <v>224</v>
      </c>
      <c r="B341" s="235"/>
      <c r="C341" s="235"/>
      <c r="D341" s="40">
        <v>1000000000</v>
      </c>
      <c r="E341" s="235"/>
      <c r="F341" s="235"/>
      <c r="G341" s="235"/>
      <c r="H341" s="235"/>
      <c r="I341" s="235"/>
      <c r="J341" s="236">
        <f aca="true" t="shared" si="7" ref="J341:J348">SUM(B341:I341)</f>
        <v>1000000000</v>
      </c>
      <c r="L341" s="29"/>
    </row>
    <row r="342" spans="1:10" ht="23.25" customHeight="1">
      <c r="A342" s="30" t="s">
        <v>225</v>
      </c>
      <c r="B342" s="29"/>
      <c r="C342" s="29"/>
      <c r="D342" s="29">
        <f>5690879995+2360742710</f>
        <v>8051622705</v>
      </c>
      <c r="E342" s="29"/>
      <c r="F342" s="29"/>
      <c r="G342" s="29"/>
      <c r="H342" s="29"/>
      <c r="I342" s="29"/>
      <c r="J342" s="78">
        <f t="shared" si="7"/>
        <v>8051622705</v>
      </c>
    </row>
    <row r="343" spans="1:10" ht="23.25" customHeight="1">
      <c r="A343" s="30" t="s">
        <v>167</v>
      </c>
      <c r="B343" s="29"/>
      <c r="C343" s="29"/>
      <c r="D343" s="40"/>
      <c r="E343" s="29"/>
      <c r="F343" s="29"/>
      <c r="G343" s="29"/>
      <c r="H343" s="29"/>
      <c r="I343" s="29"/>
      <c r="J343" s="78">
        <f t="shared" si="7"/>
        <v>0</v>
      </c>
    </row>
    <row r="344" spans="1:12" ht="23.25" customHeight="1">
      <c r="A344" s="30" t="s">
        <v>226</v>
      </c>
      <c r="B344" s="211"/>
      <c r="C344" s="29"/>
      <c r="D344" s="29"/>
      <c r="E344" s="29"/>
      <c r="F344" s="29"/>
      <c r="G344" s="29"/>
      <c r="H344" s="29"/>
      <c r="I344" s="29"/>
      <c r="J344" s="78">
        <f t="shared" si="7"/>
        <v>0</v>
      </c>
      <c r="L344" s="384"/>
    </row>
    <row r="345" spans="1:10" ht="23.25" customHeight="1">
      <c r="A345" s="303" t="s">
        <v>543</v>
      </c>
      <c r="B345" s="29"/>
      <c r="C345" s="29"/>
      <c r="D345" s="211">
        <f>-B340*20%</f>
        <v>-5517360000</v>
      </c>
      <c r="E345" s="29"/>
      <c r="F345" s="29"/>
      <c r="G345" s="29"/>
      <c r="H345" s="29"/>
      <c r="I345" s="29"/>
      <c r="J345" s="238">
        <f t="shared" si="7"/>
        <v>-5517360000</v>
      </c>
    </row>
    <row r="346" spans="1:10" ht="23.25" customHeight="1">
      <c r="A346" s="303" t="s">
        <v>542</v>
      </c>
      <c r="B346" s="29"/>
      <c r="C346" s="29"/>
      <c r="D346" s="211">
        <v>-2000000000</v>
      </c>
      <c r="E346" s="29"/>
      <c r="F346" s="29"/>
      <c r="G346" s="333"/>
      <c r="H346" s="29"/>
      <c r="I346" s="29"/>
      <c r="J346" s="238">
        <f t="shared" si="7"/>
        <v>-2000000000</v>
      </c>
    </row>
    <row r="347" spans="1:10" ht="23.25" customHeight="1">
      <c r="A347" s="95" t="s">
        <v>169</v>
      </c>
      <c r="B347" s="29"/>
      <c r="C347" s="29"/>
      <c r="D347" s="211">
        <f>-2201625531+1801625531</f>
        <v>-400000000</v>
      </c>
      <c r="E347" s="29"/>
      <c r="F347" s="29"/>
      <c r="G347" s="237"/>
      <c r="H347" s="29"/>
      <c r="I347" s="29"/>
      <c r="J347" s="212">
        <f t="shared" si="7"/>
        <v>-400000000</v>
      </c>
    </row>
    <row r="348" spans="1:10" ht="23.25" customHeight="1">
      <c r="A348" s="301" t="s">
        <v>694</v>
      </c>
      <c r="B348" s="51">
        <f>SUM(B340:B347)</f>
        <v>27586800000</v>
      </c>
      <c r="C348" s="51">
        <f>C340</f>
        <v>4121612131</v>
      </c>
      <c r="D348" s="51">
        <f aca="true" t="shared" si="8" ref="D348:I348">SUM(D340:D347)</f>
        <v>25925757481</v>
      </c>
      <c r="E348" s="51">
        <v>0</v>
      </c>
      <c r="F348" s="50">
        <f t="shared" si="8"/>
        <v>0</v>
      </c>
      <c r="G348" s="120">
        <f t="shared" si="8"/>
        <v>0</v>
      </c>
      <c r="H348" s="65">
        <f t="shared" si="8"/>
        <v>0</v>
      </c>
      <c r="I348" s="51">
        <f t="shared" si="8"/>
        <v>0</v>
      </c>
      <c r="J348" s="51">
        <f t="shared" si="7"/>
        <v>57634169612</v>
      </c>
    </row>
    <row r="349" spans="1:10" ht="15.75">
      <c r="A349" s="23"/>
      <c r="B349" s="23"/>
      <c r="C349" s="23"/>
      <c r="D349" s="23"/>
      <c r="E349" s="23"/>
      <c r="F349" s="23"/>
      <c r="G349" s="23"/>
      <c r="H349" s="23"/>
      <c r="I349" s="23"/>
      <c r="J349" s="23">
        <f>CDKT!D86</f>
        <v>57634169612</v>
      </c>
    </row>
    <row r="350" spans="1:10" ht="15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1:10" ht="19.5" customHeight="1">
      <c r="A351" s="51" t="s">
        <v>228</v>
      </c>
      <c r="B351" s="117"/>
      <c r="C351" s="15" t="s">
        <v>262</v>
      </c>
      <c r="D351" s="15" t="s">
        <v>227</v>
      </c>
      <c r="E351" s="23"/>
      <c r="F351" s="23"/>
      <c r="G351" s="23"/>
      <c r="H351" s="23"/>
      <c r="I351" s="23"/>
      <c r="J351" s="23">
        <f>J348-J349</f>
        <v>0</v>
      </c>
    </row>
    <row r="352" spans="1:10" ht="19.5" customHeight="1">
      <c r="A352" s="187"/>
      <c r="B352" s="97" t="s">
        <v>229</v>
      </c>
      <c r="C352" s="9">
        <v>12105505854</v>
      </c>
      <c r="D352" s="9">
        <v>11105505854</v>
      </c>
      <c r="E352" s="23"/>
      <c r="F352" s="23"/>
      <c r="G352" s="23"/>
      <c r="H352" s="23"/>
      <c r="I352" s="23"/>
      <c r="J352" s="23"/>
    </row>
    <row r="353" spans="1:10" ht="19.5" customHeight="1">
      <c r="A353" s="188"/>
      <c r="B353" s="30" t="s">
        <v>230</v>
      </c>
      <c r="C353" s="11">
        <v>650000000</v>
      </c>
      <c r="D353" s="11">
        <v>650000000</v>
      </c>
      <c r="E353" s="23"/>
      <c r="F353" s="23"/>
      <c r="G353" s="23"/>
      <c r="H353" s="23"/>
      <c r="I353" s="23"/>
      <c r="J353" s="23"/>
    </row>
    <row r="354" spans="1:10" ht="19.5" customHeight="1">
      <c r="A354" s="126"/>
      <c r="B354" s="15" t="s">
        <v>143</v>
      </c>
      <c r="C354" s="65">
        <f>SUM(C352:C353)</f>
        <v>12755505854</v>
      </c>
      <c r="D354" s="65">
        <f>SUM(D352:D353)</f>
        <v>11755505854</v>
      </c>
      <c r="E354" s="23"/>
      <c r="F354" s="23"/>
      <c r="G354" s="23"/>
      <c r="H354" s="23"/>
      <c r="I354" s="23"/>
      <c r="J354" s="23"/>
    </row>
    <row r="355" spans="1:3" ht="19.5" customHeight="1">
      <c r="A355" s="38" t="s">
        <v>544</v>
      </c>
      <c r="B355" s="38"/>
      <c r="C355" s="38"/>
    </row>
    <row r="356" spans="1:3" ht="19.5" customHeight="1">
      <c r="A356" s="38" t="s">
        <v>545</v>
      </c>
      <c r="B356" s="38"/>
      <c r="C356" s="38"/>
    </row>
    <row r="357" spans="1:3" ht="29.25" customHeight="1">
      <c r="A357" s="38" t="s">
        <v>231</v>
      </c>
      <c r="B357" s="38"/>
      <c r="C357" s="38"/>
    </row>
    <row r="358" spans="1:3" ht="19.5" customHeight="1">
      <c r="A358" s="38"/>
      <c r="B358" s="38"/>
      <c r="C358" s="38"/>
    </row>
    <row r="359" spans="1:5" ht="19.5" customHeight="1">
      <c r="A359" s="58"/>
      <c r="B359" s="15" t="s">
        <v>157</v>
      </c>
      <c r="C359" s="15" t="s">
        <v>7</v>
      </c>
      <c r="D359" s="100" t="s">
        <v>138</v>
      </c>
      <c r="E359" s="22"/>
    </row>
    <row r="360" spans="1:6" ht="19.5" customHeight="1">
      <c r="A360" s="101" t="s">
        <v>546</v>
      </c>
      <c r="B360" s="10"/>
      <c r="C360" s="20">
        <f>SUM(C361:C363)</f>
        <v>55818446185</v>
      </c>
      <c r="D360" s="20">
        <f>SUM(D361:D363)</f>
        <v>173386697367</v>
      </c>
      <c r="E360" s="69">
        <f>173386697367</f>
        <v>173386697367</v>
      </c>
      <c r="F360" s="2">
        <f>D360-E360</f>
        <v>0</v>
      </c>
    </row>
    <row r="361" spans="1:5" ht="19.5" customHeight="1">
      <c r="A361" s="46"/>
      <c r="B361" s="47" t="s">
        <v>232</v>
      </c>
      <c r="C361" s="10">
        <f>4612000+9496317901</f>
        <v>9500929901</v>
      </c>
      <c r="D361" s="10">
        <f>19993087911+4612000</f>
        <v>19997699911</v>
      </c>
      <c r="E361" s="40"/>
    </row>
    <row r="362" spans="1:5" ht="19.5" customHeight="1">
      <c r="A362" s="46"/>
      <c r="B362" s="47" t="s">
        <v>233</v>
      </c>
      <c r="C362" s="10">
        <v>40126607428</v>
      </c>
      <c r="D362" s="10">
        <v>144357824802</v>
      </c>
      <c r="E362" s="40"/>
    </row>
    <row r="363" spans="1:5" ht="19.5" customHeight="1">
      <c r="A363" s="46"/>
      <c r="B363" s="47" t="s">
        <v>234</v>
      </c>
      <c r="C363" s="10">
        <v>6190908856</v>
      </c>
      <c r="D363" s="10">
        <v>9031172654</v>
      </c>
      <c r="E363" s="40"/>
    </row>
    <row r="364" spans="1:5" ht="19.5" customHeight="1">
      <c r="A364" s="101" t="s">
        <v>547</v>
      </c>
      <c r="B364" s="20"/>
      <c r="C364" s="20">
        <f>SUM(C365:C365)</f>
        <v>1818182</v>
      </c>
      <c r="D364" s="20">
        <f>SUM(D365:D365)</f>
        <v>339077109</v>
      </c>
      <c r="E364" s="69"/>
    </row>
    <row r="365" spans="1:5" ht="19.5" customHeight="1">
      <c r="A365" s="46"/>
      <c r="B365" s="47" t="s">
        <v>358</v>
      </c>
      <c r="C365" s="10">
        <v>1818182</v>
      </c>
      <c r="D365" s="10">
        <v>339077109</v>
      </c>
      <c r="E365" s="40"/>
    </row>
    <row r="366" spans="1:6" ht="19.5" customHeight="1">
      <c r="A366" s="101" t="s">
        <v>548</v>
      </c>
      <c r="B366" s="20"/>
      <c r="C366" s="20">
        <f>SUM(C367:C369)</f>
        <v>55816628003</v>
      </c>
      <c r="D366" s="20">
        <f>SUM(D367:D369)</f>
        <v>173047620258</v>
      </c>
      <c r="E366" s="69">
        <f>173047620258</f>
        <v>173047620258</v>
      </c>
      <c r="F366" s="2">
        <f>D366-E366</f>
        <v>0</v>
      </c>
    </row>
    <row r="367" spans="1:5" ht="19.5" customHeight="1">
      <c r="A367" s="46" t="s">
        <v>235</v>
      </c>
      <c r="B367" s="10"/>
      <c r="C367" s="10">
        <f>C361</f>
        <v>9500929901</v>
      </c>
      <c r="D367" s="10">
        <f>19993087911+4612000</f>
        <v>19997699911</v>
      </c>
      <c r="E367" s="40"/>
    </row>
    <row r="368" spans="1:5" ht="19.5" customHeight="1">
      <c r="A368" s="46"/>
      <c r="B368" s="47" t="s">
        <v>236</v>
      </c>
      <c r="C368" s="10">
        <f>C362-C364</f>
        <v>40124789246</v>
      </c>
      <c r="D368" s="10">
        <v>144018747693</v>
      </c>
      <c r="E368" s="40"/>
    </row>
    <row r="369" spans="1:5" ht="19.5" customHeight="1">
      <c r="A369" s="46"/>
      <c r="B369" s="47" t="s">
        <v>237</v>
      </c>
      <c r="C369" s="10">
        <f>C363</f>
        <v>6190908856</v>
      </c>
      <c r="D369" s="10">
        <v>9031172654</v>
      </c>
      <c r="E369" s="40"/>
    </row>
    <row r="370" spans="1:10" s="410" customFormat="1" ht="19.5" customHeight="1">
      <c r="A370" s="406" t="s">
        <v>549</v>
      </c>
      <c r="B370" s="407"/>
      <c r="C370" s="408">
        <f>SUM(C371:C374)</f>
        <v>44072768070</v>
      </c>
      <c r="D370" s="408">
        <f>SUM(D371:D374)</f>
        <v>131588422426</v>
      </c>
      <c r="E370" s="409"/>
      <c r="F370" s="409"/>
      <c r="J370" s="411"/>
    </row>
    <row r="371" spans="1:5" ht="19.5" customHeight="1">
      <c r="A371" s="102"/>
      <c r="B371" s="47" t="s">
        <v>238</v>
      </c>
      <c r="C371" s="10">
        <f>8813215755</f>
        <v>8813215755</v>
      </c>
      <c r="D371" s="10">
        <v>19384111932</v>
      </c>
      <c r="E371" s="40"/>
    </row>
    <row r="372" spans="1:6" ht="19.5" customHeight="1">
      <c r="A372" s="46"/>
      <c r="B372" s="47" t="s">
        <v>239</v>
      </c>
      <c r="C372" s="10">
        <f>30274453396</f>
        <v>30274453396</v>
      </c>
      <c r="D372" s="10">
        <v>106509655138</v>
      </c>
      <c r="E372" s="40"/>
      <c r="F372" s="40"/>
    </row>
    <row r="373" spans="1:5" ht="19.5" customHeight="1">
      <c r="A373" s="46"/>
      <c r="B373" s="47" t="s">
        <v>256</v>
      </c>
      <c r="C373" s="27">
        <f>4985098919</f>
        <v>4985098919</v>
      </c>
      <c r="D373" s="10">
        <v>5694655356</v>
      </c>
      <c r="E373" s="40"/>
    </row>
    <row r="374" spans="1:5" ht="19.5" customHeight="1">
      <c r="A374" s="68"/>
      <c r="B374" s="47" t="s">
        <v>150</v>
      </c>
      <c r="C374" s="10">
        <v>0</v>
      </c>
      <c r="D374" s="10">
        <v>0</v>
      </c>
      <c r="E374" s="40"/>
    </row>
    <row r="375" spans="1:5" ht="19.5" customHeight="1">
      <c r="A375" s="101" t="s">
        <v>550</v>
      </c>
      <c r="B375" s="20"/>
      <c r="C375" s="20">
        <f>C376+C377</f>
        <v>89704080</v>
      </c>
      <c r="D375" s="20">
        <f>D376+D377</f>
        <v>254016344</v>
      </c>
      <c r="E375" s="23">
        <f>254016344</f>
        <v>254016344</v>
      </c>
    </row>
    <row r="376" spans="1:5" ht="19.5" customHeight="1">
      <c r="A376" s="101"/>
      <c r="B376" s="47" t="s">
        <v>553</v>
      </c>
      <c r="C376" s="10">
        <v>83092969</v>
      </c>
      <c r="D376" s="10">
        <v>247405233</v>
      </c>
      <c r="E376" s="23"/>
    </row>
    <row r="377" spans="1:5" ht="19.5" customHeight="1">
      <c r="A377" s="46"/>
      <c r="B377" s="47" t="s">
        <v>693</v>
      </c>
      <c r="C377" s="10">
        <v>6611111</v>
      </c>
      <c r="D377" s="10">
        <f>C377</f>
        <v>6611111</v>
      </c>
      <c r="E377" s="40"/>
    </row>
    <row r="378" spans="1:6" ht="19.5" customHeight="1">
      <c r="A378" s="103" t="s">
        <v>551</v>
      </c>
      <c r="B378" s="9"/>
      <c r="C378" s="18">
        <f>SUM(C379:C382)</f>
        <v>1079497461</v>
      </c>
      <c r="D378" s="18">
        <f>SUM(D379:D382)</f>
        <v>2755102872</v>
      </c>
      <c r="E378" s="23">
        <f>2755102872</f>
        <v>2755102872</v>
      </c>
      <c r="F378" s="2">
        <f>D378-E378</f>
        <v>0</v>
      </c>
    </row>
    <row r="379" spans="1:5" ht="19.5" customHeight="1">
      <c r="A379" s="46"/>
      <c r="B379" s="47" t="s">
        <v>240</v>
      </c>
      <c r="C379" s="230">
        <v>1031202706</v>
      </c>
      <c r="D379" s="230">
        <v>2503671315</v>
      </c>
      <c r="E379" s="40"/>
    </row>
    <row r="380" spans="1:5" ht="19.5" customHeight="1">
      <c r="A380" s="62"/>
      <c r="B380" s="47" t="s">
        <v>353</v>
      </c>
      <c r="C380" s="230">
        <f>54268300-5973545</f>
        <v>48294755</v>
      </c>
      <c r="D380" s="230">
        <f>231612440-5973545</f>
        <v>225638895</v>
      </c>
      <c r="E380" s="40"/>
    </row>
    <row r="381" spans="1:5" ht="19.5" customHeight="1">
      <c r="A381" s="62"/>
      <c r="B381" s="47" t="s">
        <v>601</v>
      </c>
      <c r="C381" s="230"/>
      <c r="D381" s="230">
        <v>1717662</v>
      </c>
      <c r="E381" s="40"/>
    </row>
    <row r="382" spans="1:5" ht="19.5" customHeight="1">
      <c r="A382" s="55"/>
      <c r="B382" s="56" t="s">
        <v>354</v>
      </c>
      <c r="C382" s="31"/>
      <c r="D382" s="31">
        <v>24075000</v>
      </c>
      <c r="E382" s="40"/>
    </row>
    <row r="383" spans="1:5" ht="19.5" customHeight="1">
      <c r="A383" s="7"/>
      <c r="B383" s="99"/>
      <c r="C383" s="7"/>
      <c r="D383" s="7"/>
      <c r="E383" s="7"/>
    </row>
    <row r="384" spans="1:5" ht="19.5" customHeight="1">
      <c r="A384" s="64"/>
      <c r="B384" s="15" t="s">
        <v>157</v>
      </c>
      <c r="C384" s="15" t="s">
        <v>7</v>
      </c>
      <c r="D384" s="100" t="s">
        <v>138</v>
      </c>
      <c r="E384" s="7"/>
    </row>
    <row r="385" spans="1:5" ht="19.5" customHeight="1">
      <c r="A385" s="103" t="s">
        <v>552</v>
      </c>
      <c r="B385" s="9"/>
      <c r="C385" s="18">
        <f>SUM(C386:C391)</f>
        <v>3419084760</v>
      </c>
      <c r="D385" s="18">
        <f>SUM(D386:D391)</f>
        <v>14969918133</v>
      </c>
      <c r="E385" s="2">
        <f>14969918133</f>
        <v>14969918133</v>
      </c>
    </row>
    <row r="386" spans="1:10" s="181" customFormat="1" ht="19.5" customHeight="1">
      <c r="A386" s="180"/>
      <c r="B386" s="47" t="s">
        <v>241</v>
      </c>
      <c r="C386" s="10">
        <v>418419300</v>
      </c>
      <c r="D386" s="10">
        <v>1129451800</v>
      </c>
      <c r="E386" s="2"/>
      <c r="F386" s="2"/>
      <c r="G386" s="2"/>
      <c r="J386" s="233"/>
    </row>
    <row r="387" spans="1:10" s="181" customFormat="1" ht="19.5" customHeight="1">
      <c r="A387" s="182"/>
      <c r="B387" s="54" t="s">
        <v>270</v>
      </c>
      <c r="C387" s="304">
        <f>-1990540014</f>
        <v>-1990540014</v>
      </c>
      <c r="D387" s="10">
        <v>401205787</v>
      </c>
      <c r="E387" s="2"/>
      <c r="F387" s="2"/>
      <c r="J387" s="233"/>
    </row>
    <row r="388" spans="1:10" s="181" customFormat="1" ht="19.5" customHeight="1">
      <c r="A388" s="182"/>
      <c r="B388" s="54" t="s">
        <v>273</v>
      </c>
      <c r="C388" s="47">
        <v>1818182</v>
      </c>
      <c r="D388" s="47">
        <v>136882516</v>
      </c>
      <c r="E388" s="2"/>
      <c r="F388" s="2"/>
      <c r="J388" s="233"/>
    </row>
    <row r="389" spans="1:10" s="181" customFormat="1" ht="19.5" customHeight="1">
      <c r="A389" s="182"/>
      <c r="B389" s="54" t="s">
        <v>242</v>
      </c>
      <c r="C389" s="10">
        <f>1572106081</f>
        <v>1572106081</v>
      </c>
      <c r="D389" s="10">
        <v>3787891697</v>
      </c>
      <c r="E389" s="2"/>
      <c r="F389" s="2"/>
      <c r="J389" s="233"/>
    </row>
    <row r="390" spans="1:10" s="181" customFormat="1" ht="19.5" customHeight="1">
      <c r="A390" s="182"/>
      <c r="B390" s="54" t="s">
        <v>243</v>
      </c>
      <c r="C390" s="10">
        <f>1475975562</f>
        <v>1475975562</v>
      </c>
      <c r="D390" s="10">
        <v>5164755880</v>
      </c>
      <c r="E390" s="2"/>
      <c r="F390" s="2"/>
      <c r="J390" s="233"/>
    </row>
    <row r="391" spans="1:10" s="181" customFormat="1" ht="19.5" customHeight="1">
      <c r="A391" s="182"/>
      <c r="B391" s="54" t="s">
        <v>244</v>
      </c>
      <c r="C391" s="10">
        <f>1941305649</f>
        <v>1941305649</v>
      </c>
      <c r="D391" s="10">
        <v>4349730453</v>
      </c>
      <c r="E391" s="2"/>
      <c r="F391" s="2"/>
      <c r="J391" s="233"/>
    </row>
    <row r="392" spans="1:5" ht="19.5" customHeight="1">
      <c r="A392" s="103" t="s">
        <v>554</v>
      </c>
      <c r="B392" s="9"/>
      <c r="C392" s="18">
        <f>SUM(C393:C400)</f>
        <v>4248822690</v>
      </c>
      <c r="D392" s="18">
        <f>SUM(D393:D400)</f>
        <v>13384413874</v>
      </c>
      <c r="E392" s="2">
        <f>13384413874</f>
        <v>13384413874</v>
      </c>
    </row>
    <row r="393" spans="1:4" ht="19.5" customHeight="1">
      <c r="A393" s="46"/>
      <c r="B393" s="47" t="s">
        <v>245</v>
      </c>
      <c r="C393" s="27">
        <v>2244901800</v>
      </c>
      <c r="D393" s="27">
        <v>6654993900</v>
      </c>
    </row>
    <row r="394" spans="1:4" ht="19.5" customHeight="1">
      <c r="A394" s="53"/>
      <c r="B394" s="54" t="s">
        <v>246</v>
      </c>
      <c r="C394" s="27">
        <f>442036621</f>
        <v>442036621</v>
      </c>
      <c r="D394" s="27">
        <v>1206180273</v>
      </c>
    </row>
    <row r="395" spans="1:4" ht="19.5" customHeight="1">
      <c r="A395" s="53"/>
      <c r="B395" s="54" t="s">
        <v>247</v>
      </c>
      <c r="C395" s="27">
        <v>61101000</v>
      </c>
      <c r="D395" s="27">
        <v>189111000</v>
      </c>
    </row>
    <row r="396" spans="1:4" ht="19.5" customHeight="1">
      <c r="A396" s="53"/>
      <c r="B396" s="54" t="s">
        <v>248</v>
      </c>
      <c r="C396" s="27">
        <v>378378816</v>
      </c>
      <c r="D396" s="27">
        <v>1107456965</v>
      </c>
    </row>
    <row r="397" spans="1:4" ht="19.5" customHeight="1">
      <c r="A397" s="53"/>
      <c r="B397" s="54" t="s">
        <v>249</v>
      </c>
      <c r="C397" s="27">
        <v>0</v>
      </c>
      <c r="D397" s="27">
        <v>786632800</v>
      </c>
    </row>
    <row r="398" spans="1:4" ht="19.5" customHeight="1">
      <c r="A398" s="53"/>
      <c r="B398" s="54" t="s">
        <v>271</v>
      </c>
      <c r="C398" s="304">
        <f>-886223433</f>
        <v>-886223433</v>
      </c>
      <c r="D398" s="304">
        <v>-1889104815</v>
      </c>
    </row>
    <row r="399" spans="1:4" ht="19.5" customHeight="1">
      <c r="A399" s="53"/>
      <c r="B399" s="54" t="s">
        <v>242</v>
      </c>
      <c r="C399" s="27">
        <f>1597175267+337052619</f>
        <v>1934227886</v>
      </c>
      <c r="D399" s="27">
        <v>5097198296</v>
      </c>
    </row>
    <row r="400" spans="1:4" ht="19.5" customHeight="1">
      <c r="A400" s="55"/>
      <c r="B400" s="56" t="s">
        <v>8</v>
      </c>
      <c r="C400" s="31">
        <v>74400000</v>
      </c>
      <c r="D400" s="31">
        <v>231945455</v>
      </c>
    </row>
    <row r="401" spans="1:4" ht="19.5" customHeight="1">
      <c r="A401" s="243"/>
      <c r="B401" s="315"/>
      <c r="C401" s="243"/>
      <c r="D401" s="243"/>
    </row>
    <row r="402" spans="1:4" ht="19.5" customHeight="1">
      <c r="A402" s="50" t="s">
        <v>577</v>
      </c>
      <c r="B402" s="104"/>
      <c r="C402" s="14" t="s">
        <v>7</v>
      </c>
      <c r="D402" s="100" t="s">
        <v>138</v>
      </c>
    </row>
    <row r="403" spans="1:4" ht="19.5" customHeight="1">
      <c r="A403" s="105" t="s">
        <v>578</v>
      </c>
      <c r="B403" s="106"/>
      <c r="C403" s="67">
        <f>C404+C405</f>
        <v>38097798007</v>
      </c>
      <c r="D403" s="67">
        <f>SUM(D404:D405)</f>
        <v>97798817354</v>
      </c>
    </row>
    <row r="404" spans="1:4" ht="19.5" customHeight="1">
      <c r="A404" s="46"/>
      <c r="B404" s="107" t="s">
        <v>250</v>
      </c>
      <c r="C404" s="27">
        <v>37571094545</v>
      </c>
      <c r="D404" s="27">
        <v>96338397858</v>
      </c>
    </row>
    <row r="405" spans="1:4" ht="19.5" customHeight="1">
      <c r="A405" s="46"/>
      <c r="B405" s="107" t="s">
        <v>251</v>
      </c>
      <c r="C405" s="27">
        <v>526703462</v>
      </c>
      <c r="D405" s="27">
        <v>1460419496</v>
      </c>
    </row>
    <row r="406" spans="1:4" ht="19.5" customHeight="1">
      <c r="A406" s="101" t="s">
        <v>579</v>
      </c>
      <c r="B406" s="108"/>
      <c r="C406" s="26">
        <f>SUM(C407:C409)</f>
        <v>8654666100</v>
      </c>
      <c r="D406" s="26">
        <f>SUM(D407:D409)</f>
        <v>25709710500</v>
      </c>
    </row>
    <row r="407" spans="1:4" ht="19.5" customHeight="1">
      <c r="A407" s="46"/>
      <c r="B407" s="107" t="s">
        <v>252</v>
      </c>
      <c r="C407" s="27">
        <v>7256400000</v>
      </c>
      <c r="D407" s="27">
        <v>21776400000</v>
      </c>
    </row>
    <row r="408" spans="1:4" ht="19.5" customHeight="1">
      <c r="A408" s="46"/>
      <c r="B408" s="107" t="s">
        <v>253</v>
      </c>
      <c r="C408" s="27">
        <v>529789700</v>
      </c>
      <c r="D408" s="27">
        <v>1337232400</v>
      </c>
    </row>
    <row r="409" spans="1:4" ht="19.5" customHeight="1">
      <c r="A409" s="46"/>
      <c r="B409" s="107" t="s">
        <v>359</v>
      </c>
      <c r="C409" s="27">
        <v>868476400</v>
      </c>
      <c r="D409" s="27">
        <v>2596078100</v>
      </c>
    </row>
    <row r="410" spans="1:4" ht="19.5" customHeight="1">
      <c r="A410" s="101" t="s">
        <v>580</v>
      </c>
      <c r="B410" s="108"/>
      <c r="C410" s="26">
        <v>1813984515</v>
      </c>
      <c r="D410" s="26">
        <v>5410501703</v>
      </c>
    </row>
    <row r="411" spans="1:4" ht="19.5" customHeight="1">
      <c r="A411" s="101" t="s">
        <v>581</v>
      </c>
      <c r="B411" s="108"/>
      <c r="C411" s="26">
        <v>128473204</v>
      </c>
      <c r="D411" s="26">
        <v>1213243712</v>
      </c>
    </row>
    <row r="412" spans="1:4" ht="19.5" customHeight="1">
      <c r="A412" s="101" t="s">
        <v>582</v>
      </c>
      <c r="B412" s="108"/>
      <c r="C412" s="26">
        <v>14490158898</v>
      </c>
      <c r="D412" s="26">
        <v>24505206046</v>
      </c>
    </row>
    <row r="413" spans="1:4" ht="19.5" customHeight="1">
      <c r="A413" s="109" t="s">
        <v>583</v>
      </c>
      <c r="B413" s="110"/>
      <c r="C413" s="26">
        <v>8788212204</v>
      </c>
      <c r="D413" s="26">
        <v>20541349447</v>
      </c>
    </row>
    <row r="414" spans="1:4" ht="19.5" customHeight="1">
      <c r="A414" s="64"/>
      <c r="B414" s="49" t="s">
        <v>187</v>
      </c>
      <c r="C414" s="51">
        <f>C403+C406+SUM(C410:C413)</f>
        <v>71973292928</v>
      </c>
      <c r="D414" s="51">
        <f>D403+D406+SUM(D410:D413)</f>
        <v>175178828762</v>
      </c>
    </row>
    <row r="415" spans="1:4" ht="30" customHeight="1">
      <c r="A415" s="6" t="s">
        <v>254</v>
      </c>
      <c r="C415" s="7"/>
      <c r="D415" s="7"/>
    </row>
    <row r="416" spans="1:5" ht="15.75">
      <c r="A416" s="173" t="s">
        <v>376</v>
      </c>
      <c r="B416" s="174"/>
      <c r="C416" s="209" t="s">
        <v>709</v>
      </c>
      <c r="D416" s="209"/>
      <c r="E416" s="209"/>
    </row>
    <row r="417" spans="1:10" s="34" customFormat="1" ht="18">
      <c r="A417" s="216" t="s">
        <v>377</v>
      </c>
      <c r="B417" s="216"/>
      <c r="C417" s="216"/>
      <c r="D417" s="216"/>
      <c r="E417" s="2"/>
      <c r="F417" s="2"/>
      <c r="G417" s="33"/>
      <c r="H417" s="33"/>
      <c r="J417" s="33"/>
    </row>
    <row r="418" spans="1:10" s="34" customFormat="1" ht="12.75" customHeight="1">
      <c r="A418" s="176"/>
      <c r="B418" s="177"/>
      <c r="C418" s="432"/>
      <c r="D418" s="432"/>
      <c r="E418" s="2"/>
      <c r="F418" s="2"/>
      <c r="G418" s="33"/>
      <c r="H418" s="33"/>
      <c r="J418" s="33"/>
    </row>
    <row r="419" spans="1:4" ht="15.75">
      <c r="A419" s="178"/>
      <c r="B419" s="174"/>
      <c r="C419" s="174"/>
      <c r="D419" s="111"/>
    </row>
    <row r="420" spans="1:4" ht="15.75">
      <c r="A420" s="178"/>
      <c r="B420" s="174"/>
      <c r="C420" s="174"/>
      <c r="D420" s="111"/>
    </row>
    <row r="421" spans="1:4" ht="15.75">
      <c r="A421" s="178"/>
      <c r="B421" s="174"/>
      <c r="C421" s="174"/>
      <c r="D421" s="111"/>
    </row>
    <row r="422" spans="1:4" ht="13.5" customHeight="1">
      <c r="A422" s="178"/>
      <c r="B422" s="174"/>
      <c r="C422" s="174"/>
      <c r="D422" s="111"/>
    </row>
    <row r="423" spans="1:10" s="128" customFormat="1" ht="15">
      <c r="A423" s="215" t="s">
        <v>378</v>
      </c>
      <c r="B423" s="215"/>
      <c r="C423" s="215"/>
      <c r="D423" s="213"/>
      <c r="E423" s="213"/>
      <c r="J423" s="234"/>
    </row>
  </sheetData>
  <sheetProtection/>
  <mergeCells count="6">
    <mergeCell ref="C418:D418"/>
    <mergeCell ref="A1:D1"/>
    <mergeCell ref="A184:D184"/>
    <mergeCell ref="A5:E5"/>
    <mergeCell ref="A6:E6"/>
    <mergeCell ref="A49:E49"/>
  </mergeCells>
  <printOptions/>
  <pageMargins left="0.96" right="0.31" top="0.39" bottom="0.44" header="0.22" footer="0.2"/>
  <pageSetup horizontalDpi="600" verticalDpi="600" orientation="portrait" paperSize="9" scale="95" r:id="rId2"/>
  <headerFooter alignWithMargins="0">
    <oddFooter>&amp;R&amp;"VnBravo Times,Italic"TMBCTC QuÝ III - 2014/Trang 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01">
      <selection activeCell="J19" sqref="J19"/>
    </sheetView>
  </sheetViews>
  <sheetFormatPr defaultColWidth="9.00390625" defaultRowHeight="12.75"/>
  <cols>
    <col min="1" max="1" width="50.00390625" style="2" customWidth="1"/>
    <col min="2" max="2" width="8.00390625" style="1" customWidth="1"/>
    <col min="3" max="3" width="7.625" style="1" customWidth="1"/>
    <col min="4" max="4" width="18.25390625" style="2" customWidth="1"/>
    <col min="5" max="5" width="18.00390625" style="2" customWidth="1"/>
    <col min="6" max="7" width="22.875" style="2" hidden="1" customWidth="1"/>
    <col min="8" max="8" width="23.125" style="2" hidden="1" customWidth="1"/>
    <col min="9" max="9" width="9.125" style="2" customWidth="1"/>
    <col min="10" max="11" width="16.625" style="2" bestFit="1" customWidth="1"/>
    <col min="12" max="12" width="18.00390625" style="2" customWidth="1"/>
    <col min="13" max="16384" width="9.125" style="2" customWidth="1"/>
  </cols>
  <sheetData>
    <row r="1" spans="1:6" ht="23.25" customHeight="1">
      <c r="A1" s="444" t="s">
        <v>257</v>
      </c>
      <c r="B1" s="444"/>
      <c r="C1" s="422" t="s">
        <v>259</v>
      </c>
      <c r="D1" s="422"/>
      <c r="E1" s="422"/>
      <c r="F1" s="422"/>
    </row>
    <row r="2" spans="1:6" ht="13.5" customHeight="1">
      <c r="A2" s="307" t="s">
        <v>258</v>
      </c>
      <c r="B2" s="122"/>
      <c r="C2" s="441" t="s">
        <v>11</v>
      </c>
      <c r="D2" s="441"/>
      <c r="E2" s="441"/>
      <c r="F2" s="441"/>
    </row>
    <row r="3" spans="1:6" ht="12.75" customHeight="1">
      <c r="A3" s="442" t="s">
        <v>595</v>
      </c>
      <c r="B3" s="442"/>
      <c r="C3" s="442"/>
      <c r="D3" s="442"/>
      <c r="E3" s="442"/>
      <c r="F3" s="442"/>
    </row>
    <row r="4" spans="1:5" ht="27.75" customHeight="1">
      <c r="A4" s="443" t="s">
        <v>24</v>
      </c>
      <c r="B4" s="443"/>
      <c r="C4" s="443"/>
      <c r="D4" s="443"/>
      <c r="E4" s="443"/>
    </row>
    <row r="5" spans="1:5" ht="15" customHeight="1">
      <c r="A5" s="435" t="s">
        <v>690</v>
      </c>
      <c r="B5" s="435"/>
      <c r="C5" s="435"/>
      <c r="D5" s="435"/>
      <c r="E5" s="435"/>
    </row>
    <row r="6" spans="2:5" ht="15.75">
      <c r="B6" s="8"/>
      <c r="C6" s="24"/>
      <c r="E6" s="25" t="s">
        <v>25</v>
      </c>
    </row>
    <row r="7" spans="1:8" ht="17.25" customHeight="1">
      <c r="A7" s="138" t="s">
        <v>26</v>
      </c>
      <c r="B7" s="100" t="s">
        <v>27</v>
      </c>
      <c r="C7" s="100" t="s">
        <v>28</v>
      </c>
      <c r="D7" s="100" t="s">
        <v>260</v>
      </c>
      <c r="E7" s="100" t="s">
        <v>29</v>
      </c>
      <c r="F7" s="15" t="s">
        <v>30</v>
      </c>
      <c r="G7" s="15" t="s">
        <v>31</v>
      </c>
      <c r="H7" s="15"/>
    </row>
    <row r="8" spans="1:8" s="128" customFormat="1" ht="15.75" customHeight="1">
      <c r="A8" s="179" t="s">
        <v>275</v>
      </c>
      <c r="B8" s="139">
        <v>100</v>
      </c>
      <c r="C8" s="139"/>
      <c r="D8" s="140">
        <f>D9+D12+D15+D22+D25</f>
        <v>174413946206</v>
      </c>
      <c r="E8" s="140">
        <v>152689322566</v>
      </c>
      <c r="F8" s="127" t="e">
        <f>F9+F12+F15+F22+F25+#REF!</f>
        <v>#REF!</v>
      </c>
      <c r="G8" s="127" t="e">
        <f>G9+G12+G15+G22+G25+#REF!</f>
        <v>#REF!</v>
      </c>
      <c r="H8" s="127" t="e">
        <f>H9+H12+H15+H22+H25+#REF!</f>
        <v>#REF!</v>
      </c>
    </row>
    <row r="9" spans="1:8" s="128" customFormat="1" ht="15.75" customHeight="1">
      <c r="A9" s="141" t="s">
        <v>32</v>
      </c>
      <c r="B9" s="142">
        <v>110</v>
      </c>
      <c r="C9" s="142"/>
      <c r="D9" s="143">
        <f>D10+D11</f>
        <v>14886389535</v>
      </c>
      <c r="E9" s="143">
        <v>21771808130</v>
      </c>
      <c r="F9" s="129" t="e">
        <f>F10+F11+#REF!</f>
        <v>#REF!</v>
      </c>
      <c r="G9" s="129" t="e">
        <f>G10+G11+#REF!</f>
        <v>#REF!</v>
      </c>
      <c r="H9" s="129" t="e">
        <f>H10+H11+#REF!</f>
        <v>#REF!</v>
      </c>
    </row>
    <row r="10" spans="1:8" s="128" customFormat="1" ht="15.75" customHeight="1">
      <c r="A10" s="144" t="s">
        <v>33</v>
      </c>
      <c r="B10" s="145">
        <v>111</v>
      </c>
      <c r="C10" s="145" t="s">
        <v>34</v>
      </c>
      <c r="D10" s="146">
        <f>TMBC!C160+TMBC!C161</f>
        <v>10886389535</v>
      </c>
      <c r="E10" s="146">
        <v>16271808130</v>
      </c>
      <c r="F10" s="130">
        <v>241018495</v>
      </c>
      <c r="G10" s="130">
        <v>157167058</v>
      </c>
      <c r="H10" s="130">
        <v>1814674</v>
      </c>
    </row>
    <row r="11" spans="1:8" s="128" customFormat="1" ht="15.75" customHeight="1">
      <c r="A11" s="144" t="s">
        <v>35</v>
      </c>
      <c r="B11" s="145">
        <v>112</v>
      </c>
      <c r="C11" s="145"/>
      <c r="D11" s="146">
        <f>TMBC!C162</f>
        <v>4000000000</v>
      </c>
      <c r="E11" s="146">
        <v>5500000000</v>
      </c>
      <c r="F11" s="130">
        <f>226062951+18952683+300000000+9217260+239603804+3276000000</f>
        <v>4069836698</v>
      </c>
      <c r="G11" s="130">
        <f>277752365+51108405+300000000+8764275+39760730+3526000000</f>
        <v>4203385775</v>
      </c>
      <c r="H11" s="130">
        <f>745811821+24986919+2160000000+46000000+8439308+39760730+3626000000</f>
        <v>6650998778</v>
      </c>
    </row>
    <row r="12" spans="1:8" s="128" customFormat="1" ht="15.75" customHeight="1">
      <c r="A12" s="141" t="s">
        <v>36</v>
      </c>
      <c r="B12" s="142">
        <v>120</v>
      </c>
      <c r="C12" s="145" t="s">
        <v>37</v>
      </c>
      <c r="D12" s="143">
        <f>D13+D14</f>
        <v>0</v>
      </c>
      <c r="E12" s="143">
        <v>0</v>
      </c>
      <c r="F12" s="129" t="e">
        <f>F13+#REF!+F14</f>
        <v>#REF!</v>
      </c>
      <c r="G12" s="129" t="e">
        <f>G13+#REF!+G14</f>
        <v>#REF!</v>
      </c>
      <c r="H12" s="129" t="e">
        <f>H13+#REF!+H14</f>
        <v>#REF!</v>
      </c>
    </row>
    <row r="13" spans="1:8" s="128" customFormat="1" ht="15.75" customHeight="1">
      <c r="A13" s="144" t="s">
        <v>38</v>
      </c>
      <c r="B13" s="145">
        <v>121</v>
      </c>
      <c r="C13" s="145"/>
      <c r="D13" s="146">
        <v>0</v>
      </c>
      <c r="E13" s="146">
        <v>0</v>
      </c>
      <c r="F13" s="130"/>
      <c r="G13" s="130"/>
      <c r="H13" s="130"/>
    </row>
    <row r="14" spans="1:8" s="128" customFormat="1" ht="15.75" customHeight="1">
      <c r="A14" s="144" t="s">
        <v>39</v>
      </c>
      <c r="B14" s="145">
        <v>129</v>
      </c>
      <c r="C14" s="145"/>
      <c r="D14" s="146"/>
      <c r="E14" s="146"/>
      <c r="F14" s="130"/>
      <c r="G14" s="130"/>
      <c r="H14" s="130"/>
    </row>
    <row r="15" spans="1:8" s="128" customFormat="1" ht="15.75" customHeight="1">
      <c r="A15" s="141" t="s">
        <v>40</v>
      </c>
      <c r="B15" s="142">
        <v>130</v>
      </c>
      <c r="C15" s="142"/>
      <c r="D15" s="143">
        <f>D16+D17+D18+D19+D20+D21</f>
        <v>48767618851</v>
      </c>
      <c r="E15" s="143">
        <v>59095086014</v>
      </c>
      <c r="F15" s="129" t="e">
        <f>F16+F17+F18+F19+F20+F21</f>
        <v>#REF!</v>
      </c>
      <c r="G15" s="129" t="e">
        <f>G16+G17+G18+G19+G20+G21</f>
        <v>#REF!</v>
      </c>
      <c r="H15" s="129" t="e">
        <f>H16+H17+H18+H19+H20+H21</f>
        <v>#REF!</v>
      </c>
    </row>
    <row r="16" spans="1:8" s="128" customFormat="1" ht="15.75" customHeight="1">
      <c r="A16" s="144" t="s">
        <v>41</v>
      </c>
      <c r="B16" s="145">
        <v>131</v>
      </c>
      <c r="C16" s="145"/>
      <c r="D16" s="146">
        <v>40642838785</v>
      </c>
      <c r="E16" s="146">
        <v>61340316972</v>
      </c>
      <c r="F16" s="130">
        <v>12578049321</v>
      </c>
      <c r="G16" s="130">
        <v>10130146218</v>
      </c>
      <c r="H16" s="130">
        <v>11600741663</v>
      </c>
    </row>
    <row r="17" spans="1:8" s="128" customFormat="1" ht="15.75" customHeight="1">
      <c r="A17" s="144" t="s">
        <v>42</v>
      </c>
      <c r="B17" s="145">
        <v>132</v>
      </c>
      <c r="C17" s="145"/>
      <c r="D17" s="146">
        <v>15410560876</v>
      </c>
      <c r="E17" s="146">
        <v>6861950350</v>
      </c>
      <c r="F17" s="130">
        <v>469580427</v>
      </c>
      <c r="G17" s="130">
        <v>556031929</v>
      </c>
      <c r="H17" s="130">
        <v>356959933</v>
      </c>
    </row>
    <row r="18" spans="1:8" s="128" customFormat="1" ht="15.75" customHeight="1">
      <c r="A18" s="144" t="s">
        <v>43</v>
      </c>
      <c r="B18" s="145">
        <v>133</v>
      </c>
      <c r="C18" s="145"/>
      <c r="D18" s="146"/>
      <c r="E18" s="146"/>
      <c r="F18" s="130"/>
      <c r="G18" s="130"/>
      <c r="H18" s="130"/>
    </row>
    <row r="19" spans="1:8" s="128" customFormat="1" ht="15.75" customHeight="1">
      <c r="A19" s="144" t="s">
        <v>44</v>
      </c>
      <c r="B19" s="145">
        <v>134</v>
      </c>
      <c r="C19" s="145"/>
      <c r="D19" s="146"/>
      <c r="E19" s="146"/>
      <c r="F19" s="130" t="e">
        <f>#REF!+#REF!</f>
        <v>#REF!</v>
      </c>
      <c r="G19" s="130" t="e">
        <f>#REF!+#REF!</f>
        <v>#REF!</v>
      </c>
      <c r="H19" s="130" t="e">
        <f>#REF!+#REF!</f>
        <v>#REF!</v>
      </c>
    </row>
    <row r="20" spans="1:8" s="128" customFormat="1" ht="15.75" customHeight="1">
      <c r="A20" s="144" t="s">
        <v>45</v>
      </c>
      <c r="B20" s="145">
        <v>135</v>
      </c>
      <c r="C20" s="145" t="s">
        <v>46</v>
      </c>
      <c r="D20" s="146">
        <f>TMBC!C172</f>
        <v>101366913</v>
      </c>
      <c r="E20" s="146">
        <v>169071230</v>
      </c>
      <c r="F20" s="130">
        <f>98071329+850000+24353800+8938385+24542753</f>
        <v>156756267</v>
      </c>
      <c r="G20" s="130">
        <f>81598339+15936400+8814185+37982753</f>
        <v>144331677</v>
      </c>
      <c r="H20" s="130">
        <f>77312507+28581300+8378061+15175353</f>
        <v>129447221</v>
      </c>
    </row>
    <row r="21" spans="1:8" s="128" customFormat="1" ht="15.75" customHeight="1">
      <c r="A21" s="144" t="s">
        <v>47</v>
      </c>
      <c r="B21" s="145">
        <v>139</v>
      </c>
      <c r="C21" s="145"/>
      <c r="D21" s="147">
        <v>-7387147723</v>
      </c>
      <c r="E21" s="147">
        <v>-9276252538</v>
      </c>
      <c r="F21" s="130">
        <v>-447227630</v>
      </c>
      <c r="G21" s="130">
        <v>-447227630</v>
      </c>
      <c r="H21" s="130"/>
    </row>
    <row r="22" spans="1:8" s="128" customFormat="1" ht="15.75" customHeight="1">
      <c r="A22" s="141" t="s">
        <v>48</v>
      </c>
      <c r="B22" s="142">
        <v>140</v>
      </c>
      <c r="C22" s="142"/>
      <c r="D22" s="143">
        <f>SUM(D23:D24)</f>
        <v>103574552064</v>
      </c>
      <c r="E22" s="143">
        <v>70608064842</v>
      </c>
      <c r="F22" s="129">
        <f>SUM(F23:F24)</f>
        <v>-413924000</v>
      </c>
      <c r="G22" s="129">
        <f>SUM(G23:G24)</f>
        <v>-413924000</v>
      </c>
      <c r="H22" s="129">
        <f>SUM(H23:H24)</f>
        <v>0</v>
      </c>
    </row>
    <row r="23" spans="1:8" s="128" customFormat="1" ht="15.75" customHeight="1">
      <c r="A23" s="144" t="s">
        <v>49</v>
      </c>
      <c r="B23" s="145">
        <v>141</v>
      </c>
      <c r="C23" s="145" t="s">
        <v>50</v>
      </c>
      <c r="D23" s="146">
        <f>TMBC!E181</f>
        <v>104496586664</v>
      </c>
      <c r="E23" s="146">
        <v>71530099442</v>
      </c>
      <c r="F23" s="130"/>
      <c r="G23" s="130"/>
      <c r="H23" s="130"/>
    </row>
    <row r="24" spans="1:8" s="128" customFormat="1" ht="15.75" customHeight="1">
      <c r="A24" s="144" t="s">
        <v>51</v>
      </c>
      <c r="B24" s="145">
        <v>149</v>
      </c>
      <c r="C24" s="145"/>
      <c r="D24" s="147">
        <v>-922034600</v>
      </c>
      <c r="E24" s="147">
        <v>-922034600</v>
      </c>
      <c r="F24" s="130">
        <v>-413924000</v>
      </c>
      <c r="G24" s="130">
        <v>-413924000</v>
      </c>
      <c r="H24" s="130"/>
    </row>
    <row r="25" spans="1:8" s="128" customFormat="1" ht="15.75" customHeight="1">
      <c r="A25" s="141" t="s">
        <v>52</v>
      </c>
      <c r="B25" s="142">
        <v>150</v>
      </c>
      <c r="C25" s="142"/>
      <c r="D25" s="143">
        <f>SUM(D26:D29)</f>
        <v>7185385756</v>
      </c>
      <c r="E25" s="143">
        <v>1214363580</v>
      </c>
      <c r="F25" s="129">
        <f>SUM(F26:F29)</f>
        <v>515531811</v>
      </c>
      <c r="G25" s="129">
        <f>SUM(G26:G29)</f>
        <v>651799394</v>
      </c>
      <c r="H25" s="129">
        <f>SUM(H26:H29)</f>
        <v>713841355</v>
      </c>
    </row>
    <row r="26" spans="1:8" s="128" customFormat="1" ht="16.5" customHeight="1">
      <c r="A26" s="144" t="s">
        <v>53</v>
      </c>
      <c r="B26" s="145">
        <v>151</v>
      </c>
      <c r="C26" s="145"/>
      <c r="D26" s="146">
        <v>277844790</v>
      </c>
      <c r="E26" s="146">
        <v>310705774</v>
      </c>
      <c r="F26" s="130">
        <v>495239811</v>
      </c>
      <c r="G26" s="130">
        <v>624086394</v>
      </c>
      <c r="H26" s="130">
        <v>338743106</v>
      </c>
    </row>
    <row r="27" spans="1:8" s="128" customFormat="1" ht="16.5" customHeight="1">
      <c r="A27" s="144" t="s">
        <v>54</v>
      </c>
      <c r="B27" s="145">
        <v>152</v>
      </c>
      <c r="C27" s="145"/>
      <c r="D27" s="146">
        <f>TMBC!C193</f>
        <v>4108716746</v>
      </c>
      <c r="E27" s="146"/>
      <c r="F27" s="130"/>
      <c r="G27" s="130"/>
      <c r="H27" s="130"/>
    </row>
    <row r="28" spans="1:8" s="128" customFormat="1" ht="16.5" customHeight="1">
      <c r="A28" s="144" t="s">
        <v>55</v>
      </c>
      <c r="B28" s="145">
        <v>154</v>
      </c>
      <c r="C28" s="145" t="s">
        <v>56</v>
      </c>
      <c r="D28" s="146"/>
      <c r="E28" s="146">
        <v>0</v>
      </c>
      <c r="F28" s="130"/>
      <c r="G28" s="130"/>
      <c r="H28" s="130"/>
    </row>
    <row r="29" spans="1:8" s="128" customFormat="1" ht="16.5" customHeight="1">
      <c r="A29" s="144" t="s">
        <v>57</v>
      </c>
      <c r="B29" s="145">
        <v>158</v>
      </c>
      <c r="C29" s="145"/>
      <c r="D29" s="146">
        <f>TMBC!C189</f>
        <v>2798824220</v>
      </c>
      <c r="E29" s="146">
        <v>903657806</v>
      </c>
      <c r="F29" s="130">
        <v>20292000</v>
      </c>
      <c r="G29" s="130">
        <v>27713000</v>
      </c>
      <c r="H29" s="130">
        <v>375098249</v>
      </c>
    </row>
    <row r="30" spans="1:8" s="128" customFormat="1" ht="17.25" customHeight="1">
      <c r="A30" s="148" t="s">
        <v>274</v>
      </c>
      <c r="B30" s="149">
        <v>200</v>
      </c>
      <c r="C30" s="149"/>
      <c r="D30" s="150">
        <f>D37+D51+D56+D31</f>
        <v>72531792635.01367</v>
      </c>
      <c r="E30" s="150">
        <v>64230314561.25</v>
      </c>
      <c r="F30" s="131">
        <f>F37+F51+F56+F57</f>
        <v>6537970346</v>
      </c>
      <c r="G30" s="131">
        <f>G37+G51+G56+G57</f>
        <v>6782346019</v>
      </c>
      <c r="H30" s="131">
        <f>H37+H51+H56+H57</f>
        <v>28302994746</v>
      </c>
    </row>
    <row r="31" spans="1:8" s="128" customFormat="1" ht="17.25" customHeight="1">
      <c r="A31" s="141" t="s">
        <v>58</v>
      </c>
      <c r="B31" s="151">
        <v>210</v>
      </c>
      <c r="C31" s="152"/>
      <c r="D31" s="141">
        <f>SUM(D32:D36)</f>
        <v>0</v>
      </c>
      <c r="E31" s="141">
        <v>0</v>
      </c>
      <c r="F31" s="131"/>
      <c r="G31" s="131"/>
      <c r="H31" s="131"/>
    </row>
    <row r="32" spans="1:8" s="128" customFormat="1" ht="17.25" customHeight="1">
      <c r="A32" s="144" t="s">
        <v>59</v>
      </c>
      <c r="B32" s="152">
        <v>211</v>
      </c>
      <c r="C32" s="152"/>
      <c r="D32" s="144">
        <v>0</v>
      </c>
      <c r="E32" s="144">
        <v>0</v>
      </c>
      <c r="F32" s="131"/>
      <c r="G32" s="131"/>
      <c r="H32" s="131"/>
    </row>
    <row r="33" spans="1:8" s="128" customFormat="1" ht="16.5" customHeight="1" hidden="1">
      <c r="A33" s="144" t="s">
        <v>60</v>
      </c>
      <c r="B33" s="152">
        <v>212</v>
      </c>
      <c r="C33" s="152"/>
      <c r="D33" s="144"/>
      <c r="E33" s="144"/>
      <c r="F33" s="131"/>
      <c r="G33" s="131"/>
      <c r="H33" s="131"/>
    </row>
    <row r="34" spans="1:8" s="128" customFormat="1" ht="16.5" customHeight="1" hidden="1">
      <c r="A34" s="144" t="s">
        <v>61</v>
      </c>
      <c r="B34" s="152">
        <v>213</v>
      </c>
      <c r="C34" s="152" t="s">
        <v>62</v>
      </c>
      <c r="D34" s="144"/>
      <c r="E34" s="144"/>
      <c r="F34" s="131"/>
      <c r="G34" s="131"/>
      <c r="H34" s="131"/>
    </row>
    <row r="35" spans="1:8" s="128" customFormat="1" ht="16.5" customHeight="1" hidden="1">
      <c r="A35" s="144" t="s">
        <v>63</v>
      </c>
      <c r="B35" s="152">
        <v>214</v>
      </c>
      <c r="C35" s="152" t="s">
        <v>64</v>
      </c>
      <c r="D35" s="144"/>
      <c r="E35" s="144"/>
      <c r="F35" s="131"/>
      <c r="G35" s="131"/>
      <c r="H35" s="131"/>
    </row>
    <row r="36" spans="1:8" s="128" customFormat="1" ht="16.5" customHeight="1" hidden="1">
      <c r="A36" s="144" t="s">
        <v>65</v>
      </c>
      <c r="B36" s="152">
        <v>219</v>
      </c>
      <c r="C36" s="152"/>
      <c r="D36" s="144"/>
      <c r="E36" s="144"/>
      <c r="F36" s="131"/>
      <c r="G36" s="131"/>
      <c r="H36" s="131"/>
    </row>
    <row r="37" spans="1:8" s="128" customFormat="1" ht="17.25" customHeight="1">
      <c r="A37" s="141" t="s">
        <v>66</v>
      </c>
      <c r="B37" s="142">
        <v>220</v>
      </c>
      <c r="C37" s="142"/>
      <c r="D37" s="143">
        <f>D38+D41+D44+D47</f>
        <v>71835041968</v>
      </c>
      <c r="E37" s="143">
        <v>63125554094</v>
      </c>
      <c r="F37" s="129">
        <f>F38+F41+F44</f>
        <v>5000740666</v>
      </c>
      <c r="G37" s="129">
        <f>G38+G41+G44</f>
        <v>5079948339</v>
      </c>
      <c r="H37" s="129">
        <f>H38+H41+H44</f>
        <v>4991375091</v>
      </c>
    </row>
    <row r="38" spans="1:8" s="128" customFormat="1" ht="17.25" customHeight="1">
      <c r="A38" s="144" t="s">
        <v>67</v>
      </c>
      <c r="B38" s="145">
        <v>221</v>
      </c>
      <c r="C38" s="145" t="s">
        <v>68</v>
      </c>
      <c r="D38" s="146">
        <f>D39+D40</f>
        <v>58990677733</v>
      </c>
      <c r="E38" s="146">
        <v>60843426569</v>
      </c>
      <c r="F38" s="130">
        <f>F39+F40</f>
        <v>5000740666</v>
      </c>
      <c r="G38" s="130">
        <f>G39+G40</f>
        <v>5079948339</v>
      </c>
      <c r="H38" s="130">
        <f>H39+H40</f>
        <v>4991375091</v>
      </c>
    </row>
    <row r="39" spans="1:8" s="128" customFormat="1" ht="17.25" customHeight="1">
      <c r="A39" s="153" t="s">
        <v>69</v>
      </c>
      <c r="B39" s="154">
        <v>222</v>
      </c>
      <c r="C39" s="154"/>
      <c r="D39" s="155">
        <f>TMBC!G207</f>
        <v>103590680958</v>
      </c>
      <c r="E39" s="155">
        <v>100155187214</v>
      </c>
      <c r="F39" s="132">
        <v>14259282718</v>
      </c>
      <c r="G39" s="132">
        <v>14623274582</v>
      </c>
      <c r="H39" s="130">
        <v>14581374693</v>
      </c>
    </row>
    <row r="40" spans="1:8" s="128" customFormat="1" ht="17.25" customHeight="1">
      <c r="A40" s="153" t="s">
        <v>70</v>
      </c>
      <c r="B40" s="154">
        <v>223</v>
      </c>
      <c r="C40" s="154"/>
      <c r="D40" s="156">
        <f>-TMBC!G215</f>
        <v>-44600003225</v>
      </c>
      <c r="E40" s="156">
        <v>-39311760645</v>
      </c>
      <c r="F40" s="132">
        <v>-9258542052</v>
      </c>
      <c r="G40" s="132">
        <v>-9543326243</v>
      </c>
      <c r="H40" s="132">
        <v>-9589999602</v>
      </c>
    </row>
    <row r="41" spans="1:8" s="128" customFormat="1" ht="16.5" customHeight="1" hidden="1">
      <c r="A41" s="144" t="s">
        <v>71</v>
      </c>
      <c r="B41" s="145">
        <v>224</v>
      </c>
      <c r="C41" s="145" t="s">
        <v>72</v>
      </c>
      <c r="D41" s="146">
        <f>D42-D43</f>
        <v>0</v>
      </c>
      <c r="E41" s="146">
        <v>0</v>
      </c>
      <c r="F41" s="130"/>
      <c r="G41" s="130"/>
      <c r="H41" s="130"/>
    </row>
    <row r="42" spans="1:8" s="128" customFormat="1" ht="16.5" customHeight="1" hidden="1">
      <c r="A42" s="153" t="s">
        <v>69</v>
      </c>
      <c r="B42" s="154">
        <v>225</v>
      </c>
      <c r="C42" s="154"/>
      <c r="D42" s="155"/>
      <c r="E42" s="155"/>
      <c r="F42" s="132"/>
      <c r="G42" s="132"/>
      <c r="H42" s="132"/>
    </row>
    <row r="43" spans="1:8" s="128" customFormat="1" ht="16.5" customHeight="1" hidden="1">
      <c r="A43" s="153" t="s">
        <v>70</v>
      </c>
      <c r="B43" s="154">
        <v>226</v>
      </c>
      <c r="C43" s="154"/>
      <c r="D43" s="155"/>
      <c r="E43" s="155"/>
      <c r="F43" s="132"/>
      <c r="G43" s="132"/>
      <c r="H43" s="132"/>
    </row>
    <row r="44" spans="1:8" s="128" customFormat="1" ht="17.25" customHeight="1">
      <c r="A44" s="144" t="s">
        <v>73</v>
      </c>
      <c r="B44" s="145">
        <v>227</v>
      </c>
      <c r="C44" s="145" t="s">
        <v>74</v>
      </c>
      <c r="D44" s="146">
        <f>D45+D46</f>
        <v>1920541097</v>
      </c>
      <c r="E44" s="146">
        <v>2042800220</v>
      </c>
      <c r="F44" s="130"/>
      <c r="G44" s="130"/>
      <c r="H44" s="130"/>
    </row>
    <row r="45" spans="1:8" s="128" customFormat="1" ht="17.25" customHeight="1">
      <c r="A45" s="153" t="s">
        <v>69</v>
      </c>
      <c r="B45" s="154">
        <v>228</v>
      </c>
      <c r="C45" s="154"/>
      <c r="D45" s="155">
        <v>3038689253</v>
      </c>
      <c r="E45" s="155">
        <v>3038689253</v>
      </c>
      <c r="F45" s="132"/>
      <c r="G45" s="132"/>
      <c r="H45" s="132"/>
    </row>
    <row r="46" spans="1:8" s="128" customFormat="1" ht="17.25" customHeight="1">
      <c r="A46" s="153" t="s">
        <v>70</v>
      </c>
      <c r="B46" s="154">
        <v>229</v>
      </c>
      <c r="C46" s="154"/>
      <c r="D46" s="156">
        <f>-TMBC!G240</f>
        <v>-1118148156</v>
      </c>
      <c r="E46" s="156">
        <v>-995889033</v>
      </c>
      <c r="F46" s="132"/>
      <c r="G46" s="132"/>
      <c r="H46" s="132"/>
    </row>
    <row r="47" spans="1:8" s="128" customFormat="1" ht="17.25" customHeight="1">
      <c r="A47" s="144" t="s">
        <v>75</v>
      </c>
      <c r="B47" s="154">
        <v>230</v>
      </c>
      <c r="C47" s="145" t="s">
        <v>77</v>
      </c>
      <c r="D47" s="146">
        <f>TMBC!C258</f>
        <v>10923823138</v>
      </c>
      <c r="E47" s="146">
        <v>239327305</v>
      </c>
      <c r="F47" s="132"/>
      <c r="G47" s="132"/>
      <c r="H47" s="132"/>
    </row>
    <row r="48" spans="1:8" s="128" customFormat="1" ht="17.25" customHeight="1">
      <c r="A48" s="141" t="s">
        <v>76</v>
      </c>
      <c r="B48" s="142">
        <v>240</v>
      </c>
      <c r="C48" s="142"/>
      <c r="D48" s="143">
        <f>D49+D50</f>
        <v>0</v>
      </c>
      <c r="E48" s="143">
        <v>0</v>
      </c>
      <c r="F48" s="132"/>
      <c r="G48" s="132"/>
      <c r="H48" s="132"/>
    </row>
    <row r="49" spans="1:8" s="128" customFormat="1" ht="16.5" customHeight="1" hidden="1">
      <c r="A49" s="157" t="s">
        <v>78</v>
      </c>
      <c r="B49" s="154">
        <v>241</v>
      </c>
      <c r="C49" s="145"/>
      <c r="D49" s="146"/>
      <c r="E49" s="146"/>
      <c r="F49" s="132"/>
      <c r="G49" s="132"/>
      <c r="H49" s="132"/>
    </row>
    <row r="50" spans="1:8" s="128" customFormat="1" ht="16.5" customHeight="1" hidden="1">
      <c r="A50" s="157" t="s">
        <v>79</v>
      </c>
      <c r="B50" s="154">
        <v>242</v>
      </c>
      <c r="C50" s="145"/>
      <c r="D50" s="146"/>
      <c r="E50" s="146"/>
      <c r="F50" s="132"/>
      <c r="G50" s="132"/>
      <c r="H50" s="132"/>
    </row>
    <row r="51" spans="1:8" s="128" customFormat="1" ht="17.25" customHeight="1">
      <c r="A51" s="141" t="s">
        <v>80</v>
      </c>
      <c r="B51" s="142">
        <v>250</v>
      </c>
      <c r="C51" s="142"/>
      <c r="D51" s="143">
        <v>0</v>
      </c>
      <c r="E51" s="143">
        <v>0</v>
      </c>
      <c r="F51" s="129">
        <f>SUM(F52:F55)</f>
        <v>1537229680</v>
      </c>
      <c r="G51" s="129">
        <f>SUM(G52:G55)</f>
        <v>1537229680</v>
      </c>
      <c r="H51" s="129">
        <f>SUM(H52:H55)</f>
        <v>21084287320</v>
      </c>
    </row>
    <row r="52" spans="1:8" s="128" customFormat="1" ht="16.5" customHeight="1" hidden="1">
      <c r="A52" s="144" t="s">
        <v>81</v>
      </c>
      <c r="B52" s="145">
        <v>251</v>
      </c>
      <c r="C52" s="145"/>
      <c r="D52" s="146"/>
      <c r="E52" s="146"/>
      <c r="F52" s="130"/>
      <c r="G52" s="130"/>
      <c r="H52" s="130"/>
    </row>
    <row r="53" spans="1:8" s="128" customFormat="1" ht="16.5" customHeight="1" hidden="1">
      <c r="A53" s="144" t="s">
        <v>82</v>
      </c>
      <c r="B53" s="145">
        <v>252</v>
      </c>
      <c r="C53" s="145"/>
      <c r="D53" s="146"/>
      <c r="E53" s="146"/>
      <c r="F53" s="130">
        <f>519976500-300146820</f>
        <v>219829680</v>
      </c>
      <c r="G53" s="130">
        <f>519976500-300146820</f>
        <v>219829680</v>
      </c>
      <c r="H53" s="130">
        <f>20067034140-300146820</f>
        <v>19766887320</v>
      </c>
    </row>
    <row r="54" spans="1:8" s="128" customFormat="1" ht="17.25" customHeight="1">
      <c r="A54" s="144" t="s">
        <v>83</v>
      </c>
      <c r="B54" s="145">
        <v>258</v>
      </c>
      <c r="C54" s="145" t="s">
        <v>84</v>
      </c>
      <c r="D54" s="146">
        <v>0</v>
      </c>
      <c r="E54" s="146">
        <v>0</v>
      </c>
      <c r="F54" s="130">
        <v>1317400000</v>
      </c>
      <c r="G54" s="130">
        <v>1317400000</v>
      </c>
      <c r="H54" s="130">
        <v>1317400000</v>
      </c>
    </row>
    <row r="55" spans="1:8" s="128" customFormat="1" ht="16.5" customHeight="1" hidden="1">
      <c r="A55" s="144" t="s">
        <v>85</v>
      </c>
      <c r="B55" s="145">
        <v>259</v>
      </c>
      <c r="C55" s="145"/>
      <c r="D55" s="146"/>
      <c r="E55" s="146"/>
      <c r="F55" s="130"/>
      <c r="G55" s="130"/>
      <c r="H55" s="130"/>
    </row>
    <row r="56" spans="1:8" s="128" customFormat="1" ht="17.25" customHeight="1">
      <c r="A56" s="141" t="s">
        <v>86</v>
      </c>
      <c r="B56" s="142">
        <v>260</v>
      </c>
      <c r="C56" s="158"/>
      <c r="D56" s="143">
        <f>SUM(D57:D59)</f>
        <v>696750667.0136719</v>
      </c>
      <c r="E56" s="143">
        <v>1104760467.25</v>
      </c>
      <c r="F56" s="129"/>
      <c r="G56" s="129">
        <v>165168000</v>
      </c>
      <c r="H56" s="129">
        <f>367677035+1859655300</f>
        <v>2227332335</v>
      </c>
    </row>
    <row r="57" spans="1:8" s="128" customFormat="1" ht="15.75" customHeight="1">
      <c r="A57" s="144" t="s">
        <v>87</v>
      </c>
      <c r="B57" s="145">
        <v>261</v>
      </c>
      <c r="C57" s="145" t="s">
        <v>88</v>
      </c>
      <c r="D57" s="146">
        <f>TMBC!C266</f>
        <v>696750667.0136719</v>
      </c>
      <c r="E57" s="146">
        <v>1001692285.25</v>
      </c>
      <c r="F57" s="133"/>
      <c r="G57" s="133"/>
      <c r="H57" s="133"/>
    </row>
    <row r="58" spans="1:8" s="128" customFormat="1" ht="15.75" customHeight="1">
      <c r="A58" s="144" t="s">
        <v>89</v>
      </c>
      <c r="B58" s="145">
        <v>262</v>
      </c>
      <c r="C58" s="145" t="s">
        <v>90</v>
      </c>
      <c r="D58" s="146"/>
      <c r="E58" s="146">
        <v>103068182</v>
      </c>
      <c r="F58" s="134"/>
      <c r="G58" s="134"/>
      <c r="H58" s="134"/>
    </row>
    <row r="59" spans="1:8" s="128" customFormat="1" ht="15.75" customHeight="1">
      <c r="A59" s="159" t="s">
        <v>91</v>
      </c>
      <c r="B59" s="160">
        <v>268</v>
      </c>
      <c r="C59" s="161"/>
      <c r="D59" s="162"/>
      <c r="E59" s="162"/>
      <c r="F59" s="134"/>
      <c r="G59" s="134"/>
      <c r="H59" s="134"/>
    </row>
    <row r="60" spans="1:8" s="128" customFormat="1" ht="17.25" customHeight="1">
      <c r="A60" s="163" t="s">
        <v>92</v>
      </c>
      <c r="B60" s="172">
        <v>270</v>
      </c>
      <c r="C60" s="164"/>
      <c r="D60" s="165">
        <f>D30+D8</f>
        <v>246945738841.01367</v>
      </c>
      <c r="E60" s="165">
        <v>216919637127.25</v>
      </c>
      <c r="F60" s="135" t="e">
        <f>F30+F8</f>
        <v>#REF!</v>
      </c>
      <c r="G60" s="135" t="e">
        <f>G30+G8</f>
        <v>#REF!</v>
      </c>
      <c r="H60" s="135" t="e">
        <f>H30+H8</f>
        <v>#REF!</v>
      </c>
    </row>
    <row r="61" spans="1:8" s="128" customFormat="1" ht="15.75" customHeight="1">
      <c r="A61" s="166"/>
      <c r="B61" s="167"/>
      <c r="C61" s="167"/>
      <c r="D61" s="168"/>
      <c r="E61" s="168"/>
      <c r="F61" s="135"/>
      <c r="G61" s="135"/>
      <c r="H61" s="135"/>
    </row>
    <row r="62" spans="1:8" s="128" customFormat="1" ht="24" customHeight="1">
      <c r="A62" s="138" t="s">
        <v>93</v>
      </c>
      <c r="B62" s="100" t="s">
        <v>27</v>
      </c>
      <c r="C62" s="100" t="s">
        <v>28</v>
      </c>
      <c r="D62" s="100" t="s">
        <v>260</v>
      </c>
      <c r="E62" s="100" t="s">
        <v>29</v>
      </c>
      <c r="F62" s="136" t="s">
        <v>30</v>
      </c>
      <c r="G62" s="136" t="s">
        <v>94</v>
      </c>
      <c r="H62" s="136" t="s">
        <v>95</v>
      </c>
    </row>
    <row r="63" spans="1:8" s="128" customFormat="1" ht="16.5" customHeight="1">
      <c r="A63" s="169" t="s">
        <v>96</v>
      </c>
      <c r="B63" s="170">
        <v>300</v>
      </c>
      <c r="C63" s="170"/>
      <c r="D63" s="140">
        <f>D64+D76</f>
        <v>177086863679</v>
      </c>
      <c r="E63" s="140">
        <v>159964238122</v>
      </c>
      <c r="F63" s="127" t="e">
        <f>F64+F76+#REF!</f>
        <v>#REF!</v>
      </c>
      <c r="G63" s="127" t="e">
        <f>G64+G76+#REF!</f>
        <v>#REF!</v>
      </c>
      <c r="H63" s="127" t="e">
        <f>H64+H76+#REF!</f>
        <v>#REF!</v>
      </c>
    </row>
    <row r="64" spans="1:8" s="128" customFormat="1" ht="16.5" customHeight="1">
      <c r="A64" s="141" t="s">
        <v>97</v>
      </c>
      <c r="B64" s="142">
        <v>310</v>
      </c>
      <c r="C64" s="142"/>
      <c r="D64" s="143">
        <f>SUM(D65:D75)</f>
        <v>176486863679</v>
      </c>
      <c r="E64" s="143">
        <v>124196965395</v>
      </c>
      <c r="F64" s="131">
        <f>SUM(F65:F73)</f>
        <v>10331924751</v>
      </c>
      <c r="G64" s="131">
        <f>SUM(G65:G73)</f>
        <v>10445523352</v>
      </c>
      <c r="H64" s="131">
        <f>SUM(H65:H73)</f>
        <v>15082431340</v>
      </c>
    </row>
    <row r="65" spans="1:8" s="128" customFormat="1" ht="16.5" customHeight="1">
      <c r="A65" s="144" t="s">
        <v>98</v>
      </c>
      <c r="B65" s="145">
        <v>311</v>
      </c>
      <c r="C65" s="145" t="s">
        <v>99</v>
      </c>
      <c r="D65" s="146">
        <f>TMBC!C276</f>
        <v>70667119515</v>
      </c>
      <c r="E65" s="146">
        <v>49347903599</v>
      </c>
      <c r="F65" s="130"/>
      <c r="G65" s="130"/>
      <c r="H65" s="130"/>
    </row>
    <row r="66" spans="1:8" s="128" customFormat="1" ht="16.5" customHeight="1">
      <c r="A66" s="144" t="s">
        <v>100</v>
      </c>
      <c r="B66" s="145">
        <v>312</v>
      </c>
      <c r="C66" s="145"/>
      <c r="D66" s="146">
        <v>26793782232</v>
      </c>
      <c r="E66" s="146">
        <v>9563858526</v>
      </c>
      <c r="F66" s="130">
        <v>4892222971</v>
      </c>
      <c r="G66" s="130">
        <v>5207918153</v>
      </c>
      <c r="H66" s="130">
        <v>6626911654</v>
      </c>
    </row>
    <row r="67" spans="1:8" s="128" customFormat="1" ht="16.5" customHeight="1">
      <c r="A67" s="144" t="s">
        <v>101</v>
      </c>
      <c r="B67" s="145">
        <v>313</v>
      </c>
      <c r="C67" s="145"/>
      <c r="D67" s="146">
        <v>63684866366</v>
      </c>
      <c r="E67" s="146">
        <v>44137698878</v>
      </c>
      <c r="F67" s="130">
        <v>259283358</v>
      </c>
      <c r="G67" s="130">
        <v>412112752</v>
      </c>
      <c r="H67" s="130">
        <v>803983239</v>
      </c>
    </row>
    <row r="68" spans="1:8" s="128" customFormat="1" ht="16.5" customHeight="1">
      <c r="A68" s="144" t="s">
        <v>102</v>
      </c>
      <c r="B68" s="145">
        <v>314</v>
      </c>
      <c r="C68" s="145" t="s">
        <v>103</v>
      </c>
      <c r="D68" s="146">
        <f>TMBC!C284</f>
        <v>810146742</v>
      </c>
      <c r="E68" s="146">
        <v>1969525428</v>
      </c>
      <c r="F68" s="130">
        <f>233913505+890272000+40324000+17319800</f>
        <v>1181829305</v>
      </c>
      <c r="G68" s="130">
        <f>51481290+718644000+78124000+22041200</f>
        <v>870290490</v>
      </c>
      <c r="H68" s="130">
        <f>94127477+598953000+88224000+17804800</f>
        <v>799109277</v>
      </c>
    </row>
    <row r="69" spans="1:8" s="128" customFormat="1" ht="16.5" customHeight="1">
      <c r="A69" s="144" t="s">
        <v>104</v>
      </c>
      <c r="B69" s="145">
        <v>315</v>
      </c>
      <c r="C69" s="145"/>
      <c r="D69" s="146">
        <v>5217115188</v>
      </c>
      <c r="E69" s="146">
        <v>8472353227</v>
      </c>
      <c r="F69" s="130">
        <v>3737949008</v>
      </c>
      <c r="G69" s="130">
        <v>3701569708</v>
      </c>
      <c r="H69" s="130">
        <v>1576073308</v>
      </c>
    </row>
    <row r="70" spans="1:8" s="128" customFormat="1" ht="16.5" customHeight="1">
      <c r="A70" s="144" t="s">
        <v>105</v>
      </c>
      <c r="B70" s="145">
        <v>316</v>
      </c>
      <c r="C70" s="145" t="s">
        <v>106</v>
      </c>
      <c r="D70" s="146">
        <f>TMBC!C300</f>
        <v>3299090581</v>
      </c>
      <c r="E70" s="146">
        <v>3670495385</v>
      </c>
      <c r="F70" s="130"/>
      <c r="G70" s="130"/>
      <c r="H70" s="130"/>
    </row>
    <row r="71" spans="1:8" s="128" customFormat="1" ht="16.5" customHeight="1">
      <c r="A71" s="144" t="s">
        <v>107</v>
      </c>
      <c r="B71" s="145">
        <v>317</v>
      </c>
      <c r="C71" s="145"/>
      <c r="D71" s="146"/>
      <c r="E71" s="146"/>
      <c r="F71" s="130">
        <v>7115782</v>
      </c>
      <c r="G71" s="130">
        <v>731922</v>
      </c>
      <c r="H71" s="130"/>
    </row>
    <row r="72" spans="1:8" s="128" customFormat="1" ht="16.5" customHeight="1">
      <c r="A72" s="144" t="s">
        <v>108</v>
      </c>
      <c r="B72" s="145">
        <v>318</v>
      </c>
      <c r="C72" s="145"/>
      <c r="D72" s="146"/>
      <c r="E72" s="146"/>
      <c r="F72" s="130"/>
      <c r="G72" s="130"/>
      <c r="H72" s="130"/>
    </row>
    <row r="73" spans="1:8" s="128" customFormat="1" ht="16.5" customHeight="1">
      <c r="A73" s="144" t="s">
        <v>109</v>
      </c>
      <c r="B73" s="145">
        <v>319</v>
      </c>
      <c r="C73" s="145" t="s">
        <v>110</v>
      </c>
      <c r="D73" s="146">
        <f>TMBC!C307</f>
        <v>226204416</v>
      </c>
      <c r="E73" s="146">
        <v>231006849</v>
      </c>
      <c r="F73" s="130">
        <f>15767000+26000000+194865394+16891933</f>
        <v>253524327</v>
      </c>
      <c r="G73" s="130">
        <f>16400000+32000000+185921394+18578933</f>
        <v>252900327</v>
      </c>
      <c r="H73" s="130">
        <f>16100000+4974478933+251774929+34000000</f>
        <v>5276353862</v>
      </c>
    </row>
    <row r="74" spans="1:8" s="128" customFormat="1" ht="16.5" customHeight="1">
      <c r="A74" s="144" t="s">
        <v>111</v>
      </c>
      <c r="B74" s="145">
        <v>320</v>
      </c>
      <c r="C74" s="145"/>
      <c r="D74" s="146">
        <v>5369916032</v>
      </c>
      <c r="E74" s="146">
        <v>6407706896</v>
      </c>
      <c r="F74" s="130"/>
      <c r="G74" s="130"/>
      <c r="H74" s="130"/>
    </row>
    <row r="75" spans="1:8" s="128" customFormat="1" ht="16.5" customHeight="1">
      <c r="A75" s="144" t="s">
        <v>266</v>
      </c>
      <c r="B75" s="145">
        <v>323</v>
      </c>
      <c r="C75" s="145"/>
      <c r="D75" s="146">
        <v>418622607</v>
      </c>
      <c r="E75" s="146">
        <v>396416607</v>
      </c>
      <c r="F75" s="130"/>
      <c r="G75" s="130"/>
      <c r="H75" s="130"/>
    </row>
    <row r="76" spans="1:8" s="128" customFormat="1" ht="16.5" customHeight="1">
      <c r="A76" s="141" t="s">
        <v>112</v>
      </c>
      <c r="B76" s="142">
        <v>330</v>
      </c>
      <c r="C76" s="142"/>
      <c r="D76" s="143">
        <f>SUM(D77:D84)</f>
        <v>600000000</v>
      </c>
      <c r="E76" s="143">
        <v>35767272727</v>
      </c>
      <c r="F76" s="129">
        <f>F77+F82</f>
        <v>0</v>
      </c>
      <c r="G76" s="129">
        <f>G77+G82</f>
        <v>0</v>
      </c>
      <c r="H76" s="129">
        <f>H77+H82</f>
        <v>1859655300</v>
      </c>
    </row>
    <row r="77" spans="1:8" s="128" customFormat="1" ht="16.5" customHeight="1">
      <c r="A77" s="305" t="s">
        <v>555</v>
      </c>
      <c r="B77" s="145">
        <v>331</v>
      </c>
      <c r="C77" s="145"/>
      <c r="D77" s="146">
        <v>0</v>
      </c>
      <c r="E77" s="146">
        <v>0</v>
      </c>
      <c r="F77" s="130"/>
      <c r="G77" s="130"/>
      <c r="H77" s="130">
        <v>1859655300</v>
      </c>
    </row>
    <row r="78" spans="1:8" s="128" customFormat="1" ht="16.5" customHeight="1">
      <c r="A78" s="144" t="s">
        <v>113</v>
      </c>
      <c r="B78" s="145">
        <v>332</v>
      </c>
      <c r="C78" s="145" t="s">
        <v>114</v>
      </c>
      <c r="D78" s="146"/>
      <c r="E78" s="146"/>
      <c r="F78" s="130"/>
      <c r="G78" s="130"/>
      <c r="H78" s="130"/>
    </row>
    <row r="79" spans="1:8" s="128" customFormat="1" ht="16.5" customHeight="1">
      <c r="A79" s="144" t="s">
        <v>115</v>
      </c>
      <c r="B79" s="145">
        <v>333</v>
      </c>
      <c r="C79" s="145"/>
      <c r="D79" s="146">
        <v>600000000</v>
      </c>
      <c r="E79" s="146">
        <v>600000000</v>
      </c>
      <c r="F79" s="130"/>
      <c r="G79" s="130"/>
      <c r="H79" s="130"/>
    </row>
    <row r="80" spans="1:8" s="128" customFormat="1" ht="16.5" customHeight="1">
      <c r="A80" s="144" t="s">
        <v>116</v>
      </c>
      <c r="B80" s="145">
        <v>334</v>
      </c>
      <c r="C80" s="145" t="s">
        <v>117</v>
      </c>
      <c r="D80" s="146"/>
      <c r="E80" s="146"/>
      <c r="F80" s="130"/>
      <c r="G80" s="130"/>
      <c r="H80" s="130"/>
    </row>
    <row r="81" spans="1:8" s="128" customFormat="1" ht="16.5" customHeight="1">
      <c r="A81" s="144" t="s">
        <v>118</v>
      </c>
      <c r="B81" s="145">
        <v>335</v>
      </c>
      <c r="C81" s="145" t="s">
        <v>90</v>
      </c>
      <c r="D81" s="146"/>
      <c r="E81" s="146"/>
      <c r="F81" s="130"/>
      <c r="G81" s="130"/>
      <c r="H81" s="130"/>
    </row>
    <row r="82" spans="1:8" s="128" customFormat="1" ht="16.5" customHeight="1">
      <c r="A82" s="144" t="s">
        <v>119</v>
      </c>
      <c r="B82" s="145">
        <v>336</v>
      </c>
      <c r="C82" s="145"/>
      <c r="D82" s="146"/>
      <c r="E82" s="146"/>
      <c r="F82" s="130"/>
      <c r="G82" s="130"/>
      <c r="H82" s="130"/>
    </row>
    <row r="83" spans="1:8" s="128" customFormat="1" ht="16.5" customHeight="1">
      <c r="A83" s="144" t="s">
        <v>120</v>
      </c>
      <c r="B83" s="145">
        <v>337</v>
      </c>
      <c r="C83" s="145"/>
      <c r="D83" s="146"/>
      <c r="E83" s="146"/>
      <c r="F83" s="130"/>
      <c r="G83" s="130"/>
      <c r="H83" s="130"/>
    </row>
    <row r="84" spans="1:8" s="128" customFormat="1" ht="16.5" customHeight="1">
      <c r="A84" s="144" t="s">
        <v>342</v>
      </c>
      <c r="B84" s="145">
        <v>338</v>
      </c>
      <c r="C84" s="145"/>
      <c r="D84" s="146">
        <f>TMBC!C312</f>
        <v>0</v>
      </c>
      <c r="E84" s="146">
        <v>35167272727</v>
      </c>
      <c r="F84" s="130"/>
      <c r="G84" s="130"/>
      <c r="H84" s="130"/>
    </row>
    <row r="85" spans="1:8" s="128" customFormat="1" ht="16.5" customHeight="1">
      <c r="A85" s="171" t="s">
        <v>121</v>
      </c>
      <c r="B85" s="149">
        <v>400</v>
      </c>
      <c r="C85" s="149"/>
      <c r="D85" s="150">
        <f>D86+D100</f>
        <v>69858875162</v>
      </c>
      <c r="E85" s="150">
        <v>56955399005</v>
      </c>
      <c r="F85" s="131" t="e">
        <f>F86+F100</f>
        <v>#REF!</v>
      </c>
      <c r="G85" s="131" t="e">
        <f>G86+G100</f>
        <v>#REF!</v>
      </c>
      <c r="H85" s="131" t="e">
        <f>H86+H100</f>
        <v>#REF!</v>
      </c>
    </row>
    <row r="86" spans="1:8" s="128" customFormat="1" ht="16.5" customHeight="1">
      <c r="A86" s="141" t="s">
        <v>122</v>
      </c>
      <c r="B86" s="142">
        <v>410</v>
      </c>
      <c r="C86" s="142" t="s">
        <v>123</v>
      </c>
      <c r="D86" s="143">
        <f>SUM(D87:D96)</f>
        <v>57634169612</v>
      </c>
      <c r="E86" s="143">
        <v>56499906907</v>
      </c>
      <c r="F86" s="129">
        <f>SUM(F87:F94)</f>
        <v>17491204312</v>
      </c>
      <c r="G86" s="129">
        <f>SUM(G87:G94)</f>
        <v>17923801376</v>
      </c>
      <c r="H86" s="129">
        <f>SUM(H87:H94)</f>
        <v>37392101961</v>
      </c>
    </row>
    <row r="87" spans="1:8" s="128" customFormat="1" ht="16.5" customHeight="1">
      <c r="A87" s="144" t="s">
        <v>124</v>
      </c>
      <c r="B87" s="145">
        <v>411</v>
      </c>
      <c r="C87" s="145"/>
      <c r="D87" s="146">
        <v>27586800000</v>
      </c>
      <c r="E87" s="146">
        <v>27586800000</v>
      </c>
      <c r="F87" s="130">
        <v>14743028722</v>
      </c>
      <c r="G87" s="130">
        <v>14738307322</v>
      </c>
      <c r="H87" s="130">
        <v>27918380987</v>
      </c>
    </row>
    <row r="88" spans="1:8" s="128" customFormat="1" ht="16.5" customHeight="1">
      <c r="A88" s="144" t="s">
        <v>125</v>
      </c>
      <c r="B88" s="145">
        <v>412</v>
      </c>
      <c r="C88" s="145"/>
      <c r="D88" s="146">
        <v>4121612131</v>
      </c>
      <c r="E88" s="146">
        <v>4121612131</v>
      </c>
      <c r="F88" s="130"/>
      <c r="G88" s="130"/>
      <c r="H88" s="130">
        <v>6186259240</v>
      </c>
    </row>
    <row r="89" spans="1:8" s="128" customFormat="1" ht="16.5" customHeight="1">
      <c r="A89" s="144" t="s">
        <v>126</v>
      </c>
      <c r="B89" s="145">
        <v>413</v>
      </c>
      <c r="C89" s="145"/>
      <c r="D89" s="146"/>
      <c r="E89" s="146"/>
      <c r="F89" s="130"/>
      <c r="G89" s="130"/>
      <c r="H89" s="130"/>
    </row>
    <row r="90" spans="1:8" s="128" customFormat="1" ht="16.5" customHeight="1" hidden="1">
      <c r="A90" s="144" t="s">
        <v>127</v>
      </c>
      <c r="B90" s="145">
        <v>414</v>
      </c>
      <c r="C90" s="145"/>
      <c r="D90" s="146"/>
      <c r="E90" s="146"/>
      <c r="F90" s="130"/>
      <c r="G90" s="130"/>
      <c r="H90" s="130"/>
    </row>
    <row r="91" spans="1:8" s="128" customFormat="1" ht="16.5" customHeight="1" hidden="1">
      <c r="A91" s="144" t="s">
        <v>128</v>
      </c>
      <c r="B91" s="145">
        <v>415</v>
      </c>
      <c r="C91" s="145"/>
      <c r="D91" s="146"/>
      <c r="E91" s="146"/>
      <c r="F91" s="130">
        <v>857514047</v>
      </c>
      <c r="G91" s="130">
        <v>857514047</v>
      </c>
      <c r="H91" s="130">
        <v>2042236182</v>
      </c>
    </row>
    <row r="92" spans="1:8" s="128" customFormat="1" ht="16.5" customHeight="1">
      <c r="A92" s="144" t="s">
        <v>129</v>
      </c>
      <c r="B92" s="145">
        <v>416</v>
      </c>
      <c r="C92" s="145"/>
      <c r="D92" s="146"/>
      <c r="E92" s="146"/>
      <c r="F92" s="130">
        <v>638941000</v>
      </c>
      <c r="G92" s="130">
        <v>638941000</v>
      </c>
      <c r="H92" s="130">
        <v>957275000</v>
      </c>
    </row>
    <row r="93" spans="1:8" s="128" customFormat="1" ht="16.5" customHeight="1">
      <c r="A93" s="144" t="s">
        <v>130</v>
      </c>
      <c r="B93" s="145">
        <v>417</v>
      </c>
      <c r="C93" s="145"/>
      <c r="D93" s="146">
        <v>12105505854</v>
      </c>
      <c r="E93" s="146">
        <v>11105505854</v>
      </c>
      <c r="F93" s="130">
        <v>1251720543</v>
      </c>
      <c r="G93" s="130">
        <v>1689039007</v>
      </c>
      <c r="H93" s="130">
        <v>287950552</v>
      </c>
    </row>
    <row r="94" spans="1:8" s="128" customFormat="1" ht="16.5" customHeight="1">
      <c r="A94" s="144" t="s">
        <v>131</v>
      </c>
      <c r="B94" s="145">
        <v>418</v>
      </c>
      <c r="C94" s="145"/>
      <c r="D94" s="146">
        <v>650000000</v>
      </c>
      <c r="E94" s="146">
        <v>650000000</v>
      </c>
      <c r="F94" s="130">
        <v>0</v>
      </c>
      <c r="G94" s="130">
        <v>0</v>
      </c>
      <c r="H94" s="130">
        <v>0</v>
      </c>
    </row>
    <row r="95" spans="1:8" s="128" customFormat="1" ht="16.5" customHeight="1">
      <c r="A95" s="144" t="s">
        <v>132</v>
      </c>
      <c r="B95" s="145">
        <v>419</v>
      </c>
      <c r="C95" s="145"/>
      <c r="D95" s="146"/>
      <c r="E95" s="146"/>
      <c r="F95" s="130"/>
      <c r="G95" s="130"/>
      <c r="H95" s="130"/>
    </row>
    <row r="96" spans="1:8" s="128" customFormat="1" ht="16.5" customHeight="1">
      <c r="A96" s="144" t="s">
        <v>133</v>
      </c>
      <c r="B96" s="145">
        <v>420</v>
      </c>
      <c r="C96" s="145"/>
      <c r="D96" s="146">
        <f>D97+D98</f>
        <v>13170251627</v>
      </c>
      <c r="E96" s="146">
        <v>13035988922</v>
      </c>
      <c r="F96" s="130"/>
      <c r="G96" s="130"/>
      <c r="H96" s="130"/>
    </row>
    <row r="97" spans="1:8" s="128" customFormat="1" ht="16.5" customHeight="1">
      <c r="A97" s="153" t="s">
        <v>9</v>
      </c>
      <c r="B97" s="154"/>
      <c r="C97" s="154"/>
      <c r="D97" s="155">
        <f>5118628922</f>
        <v>5118628922</v>
      </c>
      <c r="E97" s="155">
        <v>4494265742</v>
      </c>
      <c r="F97" s="130"/>
      <c r="G97" s="130"/>
      <c r="H97" s="130"/>
    </row>
    <row r="98" spans="1:8" s="128" customFormat="1" ht="16.5" customHeight="1">
      <c r="A98" s="153" t="s">
        <v>10</v>
      </c>
      <c r="B98" s="154"/>
      <c r="C98" s="154"/>
      <c r="D98" s="155">
        <f>8051622705</f>
        <v>8051622705</v>
      </c>
      <c r="E98" s="155">
        <v>8541723180</v>
      </c>
      <c r="F98" s="130"/>
      <c r="G98" s="130"/>
      <c r="H98" s="130"/>
    </row>
    <row r="99" spans="1:8" s="128" customFormat="1" ht="16.5" customHeight="1">
      <c r="A99" s="144" t="s">
        <v>134</v>
      </c>
      <c r="B99" s="145">
        <v>421</v>
      </c>
      <c r="C99" s="145"/>
      <c r="D99" s="146"/>
      <c r="E99" s="146"/>
      <c r="F99" s="130"/>
      <c r="G99" s="130"/>
      <c r="H99" s="130"/>
    </row>
    <row r="100" spans="1:8" s="128" customFormat="1" ht="16.5" customHeight="1">
      <c r="A100" s="141" t="s">
        <v>135</v>
      </c>
      <c r="B100" s="142">
        <v>430</v>
      </c>
      <c r="C100" s="158"/>
      <c r="D100" s="143">
        <f>SUM(D101:D102)</f>
        <v>12224705550</v>
      </c>
      <c r="E100" s="143">
        <v>455492098</v>
      </c>
      <c r="F100" s="129" t="e">
        <f>SUM(F101:F102)+#REF!</f>
        <v>#REF!</v>
      </c>
      <c r="G100" s="129" t="e">
        <f>SUM(G101:G102)+#REF!</f>
        <v>#REF!</v>
      </c>
      <c r="H100" s="129" t="e">
        <f>SUM(H101:H102)+#REF!</f>
        <v>#REF!</v>
      </c>
    </row>
    <row r="101" spans="1:8" s="128" customFormat="1" ht="16.5" customHeight="1">
      <c r="A101" s="144" t="s">
        <v>267</v>
      </c>
      <c r="B101" s="145">
        <v>432</v>
      </c>
      <c r="C101" s="145"/>
      <c r="D101" s="146">
        <f>TMBC!C319</f>
        <v>11613564250</v>
      </c>
      <c r="E101" s="146">
        <v>455492098</v>
      </c>
      <c r="F101" s="130">
        <v>1252276361</v>
      </c>
      <c r="G101" s="130">
        <v>1172276361</v>
      </c>
      <c r="H101" s="130">
        <v>1407062361</v>
      </c>
    </row>
    <row r="102" spans="1:8" s="128" customFormat="1" ht="16.5" customHeight="1">
      <c r="A102" s="144" t="s">
        <v>268</v>
      </c>
      <c r="B102" s="145">
        <v>433</v>
      </c>
      <c r="C102" s="145"/>
      <c r="D102" s="146">
        <f>TMBC!C322</f>
        <v>611141300</v>
      </c>
      <c r="E102" s="146"/>
      <c r="F102" s="130"/>
      <c r="G102" s="130"/>
      <c r="H102" s="130"/>
    </row>
    <row r="103" spans="1:8" s="128" customFormat="1" ht="16.5" customHeight="1">
      <c r="A103" s="163" t="s">
        <v>136</v>
      </c>
      <c r="B103" s="172">
        <v>440</v>
      </c>
      <c r="C103" s="172"/>
      <c r="D103" s="165">
        <f>D85+D63</f>
        <v>246945738841</v>
      </c>
      <c r="E103" s="165">
        <v>216919637127</v>
      </c>
      <c r="F103" s="137" t="e">
        <f>F85+F63</f>
        <v>#REF!</v>
      </c>
      <c r="G103" s="137" t="e">
        <f>G85+G63</f>
        <v>#REF!</v>
      </c>
      <c r="H103" s="137" t="e">
        <f>H85+H63</f>
        <v>#REF!</v>
      </c>
    </row>
    <row r="104" spans="1:5" ht="24.75" customHeight="1">
      <c r="A104" s="173"/>
      <c r="B104" s="174"/>
      <c r="C104" s="175" t="s">
        <v>697</v>
      </c>
      <c r="D104" s="175"/>
      <c r="E104" s="175"/>
    </row>
    <row r="105" spans="1:8" s="34" customFormat="1" ht="17.25" customHeight="1">
      <c r="A105" s="440" t="s">
        <v>374</v>
      </c>
      <c r="B105" s="440"/>
      <c r="C105" s="440"/>
      <c r="D105" s="440"/>
      <c r="E105" s="440"/>
      <c r="F105" s="33"/>
      <c r="G105" s="33"/>
      <c r="H105" s="33" t="s">
        <v>137</v>
      </c>
    </row>
    <row r="106" spans="1:8" s="34" customFormat="1" ht="12.75" customHeight="1">
      <c r="A106" s="176"/>
      <c r="B106" s="177"/>
      <c r="C106" s="177"/>
      <c r="D106" s="16"/>
      <c r="E106" s="16"/>
      <c r="F106" s="33"/>
      <c r="G106" s="33"/>
      <c r="H106" s="33"/>
    </row>
    <row r="107" spans="1:5" ht="13.5" customHeight="1">
      <c r="A107" s="178"/>
      <c r="B107" s="174"/>
      <c r="C107" s="174"/>
      <c r="D107" s="111"/>
      <c r="E107" s="111"/>
    </row>
    <row r="108" spans="1:5" ht="12" customHeight="1">
      <c r="A108" s="178"/>
      <c r="B108" s="174"/>
      <c r="C108" s="174"/>
      <c r="D108" s="111"/>
      <c r="E108" s="111"/>
    </row>
    <row r="109" spans="1:5" ht="15.75">
      <c r="A109" s="178"/>
      <c r="B109" s="174"/>
      <c r="C109" s="174"/>
      <c r="D109" s="111"/>
      <c r="E109" s="111"/>
    </row>
    <row r="110" spans="1:5" ht="13.5" customHeight="1">
      <c r="A110" s="178"/>
      <c r="B110" s="174"/>
      <c r="C110" s="174"/>
      <c r="D110" s="111"/>
      <c r="E110" s="111"/>
    </row>
    <row r="111" spans="1:5" s="128" customFormat="1" ht="15">
      <c r="A111" s="215" t="s">
        <v>375</v>
      </c>
      <c r="B111" s="215"/>
      <c r="C111" s="215"/>
      <c r="D111" s="215"/>
      <c r="E111" s="215"/>
    </row>
    <row r="112" ht="15">
      <c r="D112" s="1"/>
    </row>
  </sheetData>
  <sheetProtection/>
  <mergeCells count="7">
    <mergeCell ref="A5:E5"/>
    <mergeCell ref="A105:E105"/>
    <mergeCell ref="C1:F1"/>
    <mergeCell ref="C2:F2"/>
    <mergeCell ref="A3:F3"/>
    <mergeCell ref="A4:E4"/>
    <mergeCell ref="A1:B1"/>
  </mergeCells>
  <printOptions/>
  <pageMargins left="0.8" right="0.25" top="0.23" bottom="0.2" header="0.17" footer="0.16"/>
  <pageSetup horizontalDpi="600" verticalDpi="600" orientation="portrait" paperSize="9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40">
      <selection activeCell="H48" sqref="H48"/>
    </sheetView>
  </sheetViews>
  <sheetFormatPr defaultColWidth="9.00390625" defaultRowHeight="12.75"/>
  <cols>
    <col min="1" max="1" width="44.125" style="2" customWidth="1"/>
    <col min="2" max="2" width="4.375" style="2" customWidth="1"/>
    <col min="3" max="3" width="6.125" style="2" customWidth="1"/>
    <col min="4" max="5" width="17.875" style="2" hidden="1" customWidth="1"/>
    <col min="6" max="6" width="16.25390625" style="2" hidden="1" customWidth="1"/>
    <col min="7" max="7" width="0.12890625" style="2" customWidth="1"/>
    <col min="8" max="8" width="14.375" style="248" customWidth="1"/>
    <col min="9" max="9" width="13.375" style="248" customWidth="1"/>
    <col min="10" max="10" width="15.25390625" style="248" customWidth="1"/>
    <col min="11" max="11" width="15.375" style="248" customWidth="1"/>
    <col min="12" max="12" width="13.875" style="2" customWidth="1"/>
    <col min="13" max="13" width="19.00390625" style="2" customWidth="1"/>
    <col min="14" max="16384" width="9.125" style="2" customWidth="1"/>
  </cols>
  <sheetData>
    <row r="1" spans="1:11" ht="16.5">
      <c r="A1" s="239" t="s">
        <v>322</v>
      </c>
      <c r="B1" s="36"/>
      <c r="C1" s="36"/>
      <c r="D1" s="36"/>
      <c r="E1" s="36"/>
      <c r="F1" s="36"/>
      <c r="G1" s="36"/>
      <c r="H1" s="447"/>
      <c r="I1" s="447"/>
      <c r="J1" s="447" t="s">
        <v>314</v>
      </c>
      <c r="K1" s="447"/>
    </row>
    <row r="2" spans="1:11" ht="15.75">
      <c r="A2" s="121" t="s">
        <v>331</v>
      </c>
      <c r="B2" s="36"/>
      <c r="C2" s="36"/>
      <c r="D2" s="36"/>
      <c r="E2" s="36"/>
      <c r="F2" s="36"/>
      <c r="G2" s="36"/>
      <c r="H2" s="448"/>
      <c r="I2" s="448"/>
      <c r="J2" s="448" t="s">
        <v>313</v>
      </c>
      <c r="K2" s="448"/>
    </row>
    <row r="3" spans="1:11" ht="12.75">
      <c r="A3" s="210" t="s">
        <v>596</v>
      </c>
      <c r="B3" s="37"/>
      <c r="C3" s="37"/>
      <c r="D3" s="202"/>
      <c r="E3" s="202"/>
      <c r="F3" s="202"/>
      <c r="G3" s="202"/>
      <c r="H3" s="359"/>
      <c r="I3" s="359"/>
      <c r="J3" s="449" t="s">
        <v>315</v>
      </c>
      <c r="K3" s="449"/>
    </row>
    <row r="4" spans="1:11" ht="12.75">
      <c r="A4" s="201"/>
      <c r="B4" s="202"/>
      <c r="C4" s="202"/>
      <c r="D4" s="202"/>
      <c r="E4" s="202"/>
      <c r="F4" s="202"/>
      <c r="G4" s="202"/>
      <c r="H4" s="246"/>
      <c r="I4" s="246"/>
      <c r="J4" s="246"/>
      <c r="K4" s="246"/>
    </row>
    <row r="5" spans="1:11" ht="28.5" customHeight="1">
      <c r="A5" s="450" t="s">
        <v>320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</row>
    <row r="6" spans="1:11" ht="14.25" customHeight="1">
      <c r="A6" s="451" t="s">
        <v>279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</row>
    <row r="7" spans="1:11" ht="15">
      <c r="A7" s="452" t="s">
        <v>681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</row>
    <row r="8" spans="1:11" s="199" customFormat="1" ht="20.25" customHeight="1">
      <c r="A8" s="203"/>
      <c r="B8" s="36"/>
      <c r="C8" s="36"/>
      <c r="D8" s="36"/>
      <c r="E8" s="36"/>
      <c r="F8" s="36"/>
      <c r="G8" s="36"/>
      <c r="H8" s="453"/>
      <c r="I8" s="453"/>
      <c r="J8" s="453" t="s">
        <v>280</v>
      </c>
      <c r="K8" s="453"/>
    </row>
    <row r="9" spans="1:11" s="191" customFormat="1" ht="16.5" customHeight="1">
      <c r="A9" s="257"/>
      <c r="B9" s="445" t="s">
        <v>27</v>
      </c>
      <c r="C9" s="454" t="s">
        <v>281</v>
      </c>
      <c r="D9" s="462" t="s">
        <v>351</v>
      </c>
      <c r="E9" s="463"/>
      <c r="F9" s="458" t="s">
        <v>604</v>
      </c>
      <c r="G9" s="459"/>
      <c r="H9" s="458" t="s">
        <v>696</v>
      </c>
      <c r="I9" s="459"/>
      <c r="J9" s="460" t="s">
        <v>602</v>
      </c>
      <c r="K9" s="461"/>
    </row>
    <row r="10" spans="1:11" s="191" customFormat="1" ht="16.5" customHeight="1">
      <c r="A10" s="258" t="s">
        <v>282</v>
      </c>
      <c r="B10" s="446"/>
      <c r="C10" s="455"/>
      <c r="D10" s="259" t="s">
        <v>556</v>
      </c>
      <c r="E10" s="259" t="s">
        <v>352</v>
      </c>
      <c r="F10" s="259" t="s">
        <v>556</v>
      </c>
      <c r="G10" s="259" t="s">
        <v>352</v>
      </c>
      <c r="H10" s="259" t="s">
        <v>556</v>
      </c>
      <c r="I10" s="259" t="s">
        <v>352</v>
      </c>
      <c r="J10" s="259" t="s">
        <v>556</v>
      </c>
      <c r="K10" s="259" t="s">
        <v>352</v>
      </c>
    </row>
    <row r="11" spans="1:11" s="204" customFormat="1" ht="15" customHeight="1">
      <c r="A11" s="260">
        <v>1</v>
      </c>
      <c r="B11" s="260">
        <v>2</v>
      </c>
      <c r="C11" s="260">
        <v>3</v>
      </c>
      <c r="D11" s="261">
        <v>4</v>
      </c>
      <c r="E11" s="261">
        <v>5</v>
      </c>
      <c r="F11" s="261">
        <v>6</v>
      </c>
      <c r="G11" s="261">
        <v>7</v>
      </c>
      <c r="H11" s="261">
        <v>6</v>
      </c>
      <c r="I11" s="261">
        <v>7</v>
      </c>
      <c r="J11" s="261">
        <v>4</v>
      </c>
      <c r="K11" s="261">
        <v>5</v>
      </c>
    </row>
    <row r="12" spans="1:11" s="178" customFormat="1" ht="18.75" customHeight="1">
      <c r="A12" s="207" t="s">
        <v>283</v>
      </c>
      <c r="B12" s="219"/>
      <c r="C12" s="219"/>
      <c r="D12" s="256"/>
      <c r="E12" s="247"/>
      <c r="F12" s="256"/>
      <c r="G12" s="247"/>
      <c r="H12" s="256"/>
      <c r="I12" s="247"/>
      <c r="J12" s="256"/>
      <c r="K12" s="247"/>
    </row>
    <row r="13" spans="1:12" s="178" customFormat="1" ht="18.75" customHeight="1">
      <c r="A13" s="205" t="s">
        <v>284</v>
      </c>
      <c r="B13" s="352" t="s">
        <v>15</v>
      </c>
      <c r="C13" s="223"/>
      <c r="D13" s="319">
        <v>54223822750</v>
      </c>
      <c r="E13" s="319">
        <v>66756271818</v>
      </c>
      <c r="F13" s="337">
        <v>65042696815</v>
      </c>
      <c r="G13" s="344">
        <v>31774039963</v>
      </c>
      <c r="H13" s="337">
        <v>70806360115</v>
      </c>
      <c r="I13" s="344">
        <v>27952938995</v>
      </c>
      <c r="J13" s="344">
        <f aca="true" t="shared" si="0" ref="J13:J19">H13+D13+F13</f>
        <v>190072879680</v>
      </c>
      <c r="K13" s="344">
        <v>126483250776</v>
      </c>
      <c r="L13" s="252"/>
    </row>
    <row r="14" spans="1:11" s="178" customFormat="1" ht="18.75" customHeight="1">
      <c r="A14" s="205" t="s">
        <v>285</v>
      </c>
      <c r="B14" s="352" t="s">
        <v>17</v>
      </c>
      <c r="C14" s="223"/>
      <c r="D14" s="319">
        <v>-35334408925</v>
      </c>
      <c r="E14" s="320">
        <f>-38628737156-6029781997-2096328322-610000</f>
        <v>-46755457475</v>
      </c>
      <c r="F14" s="338">
        <v>-66156008043</v>
      </c>
      <c r="G14" s="338">
        <v>-40249454083</v>
      </c>
      <c r="H14" s="338">
        <v>-72126436001</v>
      </c>
      <c r="I14" s="338">
        <v>-40710686611</v>
      </c>
      <c r="J14" s="412">
        <f t="shared" si="0"/>
        <v>-173616852969</v>
      </c>
      <c r="K14" s="412">
        <v>-127715598169</v>
      </c>
    </row>
    <row r="15" spans="1:12" s="111" customFormat="1" ht="18.75" customHeight="1">
      <c r="A15" s="205" t="s">
        <v>286</v>
      </c>
      <c r="B15" s="352" t="s">
        <v>287</v>
      </c>
      <c r="C15" s="223"/>
      <c r="D15" s="319">
        <v>-11427847306</v>
      </c>
      <c r="E15" s="320">
        <v>-8737596476</v>
      </c>
      <c r="F15" s="340">
        <f>-6589513507</f>
        <v>-6589513507</v>
      </c>
      <c r="G15" s="338">
        <v>-5946206559</v>
      </c>
      <c r="H15" s="340">
        <v>-7474262560</v>
      </c>
      <c r="I15" s="338">
        <v>-6064467575</v>
      </c>
      <c r="J15" s="339">
        <f t="shared" si="0"/>
        <v>-25491623373</v>
      </c>
      <c r="K15" s="339">
        <v>-20748270610</v>
      </c>
      <c r="L15" s="178"/>
    </row>
    <row r="16" spans="1:12" s="111" customFormat="1" ht="18.75" customHeight="1">
      <c r="A16" s="205" t="s">
        <v>704</v>
      </c>
      <c r="B16" s="352" t="s">
        <v>288</v>
      </c>
      <c r="C16" s="223"/>
      <c r="D16" s="319">
        <v>-383805631</v>
      </c>
      <c r="E16" s="320">
        <f>-520207904-174806962</f>
        <v>-695014866</v>
      </c>
      <c r="F16" s="340">
        <v>-730047147</v>
      </c>
      <c r="G16" s="338">
        <v>-665350210</v>
      </c>
      <c r="H16" s="340">
        <v>-729487120</v>
      </c>
      <c r="I16" s="338">
        <v>-942169244</v>
      </c>
      <c r="J16" s="339">
        <f t="shared" si="0"/>
        <v>-1843339898</v>
      </c>
      <c r="K16" s="339">
        <v>-2302534320</v>
      </c>
      <c r="L16" s="178"/>
    </row>
    <row r="17" spans="1:12" s="111" customFormat="1" ht="18.75" customHeight="1">
      <c r="A17" s="205" t="s">
        <v>289</v>
      </c>
      <c r="B17" s="352" t="s">
        <v>290</v>
      </c>
      <c r="C17" s="223"/>
      <c r="D17" s="319">
        <v>-700468562</v>
      </c>
      <c r="E17" s="320">
        <v>-626879968</v>
      </c>
      <c r="F17" s="340">
        <v>-700182063</v>
      </c>
      <c r="G17" s="338">
        <v>-724256820</v>
      </c>
      <c r="H17" s="340">
        <v>-850000000</v>
      </c>
      <c r="I17" s="338">
        <v>-900538867</v>
      </c>
      <c r="J17" s="339">
        <f t="shared" si="0"/>
        <v>-2250650625</v>
      </c>
      <c r="K17" s="339">
        <v>-2251675655</v>
      </c>
      <c r="L17" s="178"/>
    </row>
    <row r="18" spans="1:11" s="111" customFormat="1" ht="18.75" customHeight="1">
      <c r="A18" s="205" t="s">
        <v>291</v>
      </c>
      <c r="B18" s="352" t="s">
        <v>292</v>
      </c>
      <c r="C18" s="223"/>
      <c r="D18" s="319">
        <v>775294592</v>
      </c>
      <c r="E18" s="320">
        <v>1813143570</v>
      </c>
      <c r="F18" s="344">
        <v>17995418620</v>
      </c>
      <c r="G18" s="344">
        <v>2325487984</v>
      </c>
      <c r="H18" s="344">
        <v>7412329393</v>
      </c>
      <c r="I18" s="344">
        <v>369868380</v>
      </c>
      <c r="J18" s="344">
        <f t="shared" si="0"/>
        <v>26183042605</v>
      </c>
      <c r="K18" s="344">
        <v>4508499934</v>
      </c>
    </row>
    <row r="19" spans="1:11" s="111" customFormat="1" ht="18.75" customHeight="1">
      <c r="A19" s="205" t="s">
        <v>293</v>
      </c>
      <c r="B19" s="352" t="s">
        <v>294</v>
      </c>
      <c r="C19" s="223"/>
      <c r="D19" s="319">
        <f>-6725554243-500000000</f>
        <v>-7225554243</v>
      </c>
      <c r="E19" s="320">
        <v>-3763635963</v>
      </c>
      <c r="F19" s="340">
        <v>-11421808032</v>
      </c>
      <c r="G19" s="338">
        <v>-8911417594</v>
      </c>
      <c r="H19" s="340">
        <v>-5515823035</v>
      </c>
      <c r="I19" s="338">
        <v>-4021559990</v>
      </c>
      <c r="J19" s="339">
        <f t="shared" si="0"/>
        <v>-24163185310</v>
      </c>
      <c r="K19" s="339">
        <v>-16696613547</v>
      </c>
    </row>
    <row r="20" spans="1:11" s="111" customFormat="1" ht="18.75" customHeight="1">
      <c r="A20" s="206" t="s">
        <v>295</v>
      </c>
      <c r="B20" s="353">
        <v>20</v>
      </c>
      <c r="C20" s="225"/>
      <c r="D20" s="321">
        <f>D13+D14+D15+D16+D17+D18+D19</f>
        <v>-72967325</v>
      </c>
      <c r="E20" s="326">
        <f>E13+E14+E15+E16+E17+E18+E19</f>
        <v>7990830640</v>
      </c>
      <c r="F20" s="341">
        <f>F13+F14+F15+F16+F17+F18+F19</f>
        <v>-2559443357</v>
      </c>
      <c r="G20" s="342">
        <v>-22397157319</v>
      </c>
      <c r="H20" s="341">
        <f>H13+H14+H15+H16+H17+H18+H19</f>
        <v>-8477319208</v>
      </c>
      <c r="I20" s="342">
        <v>-24316614912</v>
      </c>
      <c r="J20" s="341">
        <f>J13+J14+J15+J16+J17+J18+J19</f>
        <v>-11109729890</v>
      </c>
      <c r="K20" s="341">
        <v>-38722941591</v>
      </c>
    </row>
    <row r="21" spans="1:11" s="111" customFormat="1" ht="18.75" customHeight="1">
      <c r="A21" s="207" t="s">
        <v>296</v>
      </c>
      <c r="B21" s="354"/>
      <c r="C21" s="224"/>
      <c r="D21" s="319"/>
      <c r="E21" s="321"/>
      <c r="F21" s="342"/>
      <c r="G21" s="342"/>
      <c r="H21" s="342"/>
      <c r="I21" s="342"/>
      <c r="J21" s="339"/>
      <c r="K21" s="343"/>
    </row>
    <row r="22" spans="1:11" s="111" customFormat="1" ht="18.75" customHeight="1">
      <c r="A22" s="205" t="s">
        <v>330</v>
      </c>
      <c r="B22" s="355">
        <v>21</v>
      </c>
      <c r="C22" s="226"/>
      <c r="D22" s="319">
        <v>-192100000</v>
      </c>
      <c r="E22" s="320">
        <v>-2408728615</v>
      </c>
      <c r="F22" s="340">
        <v>-4575634964</v>
      </c>
      <c r="G22" s="338">
        <v>-914698116</v>
      </c>
      <c r="H22" s="340">
        <v>-8551038525</v>
      </c>
      <c r="I22" s="338"/>
      <c r="J22" s="339">
        <f>H22+D22+F22</f>
        <v>-13318773489</v>
      </c>
      <c r="K22" s="339">
        <v>-3323426731</v>
      </c>
    </row>
    <row r="23" spans="1:11" s="111" customFormat="1" ht="18.75" customHeight="1">
      <c r="A23" s="205" t="s">
        <v>297</v>
      </c>
      <c r="B23" s="355">
        <v>22</v>
      </c>
      <c r="C23" s="226"/>
      <c r="D23" s="319"/>
      <c r="E23" s="320"/>
      <c r="F23" s="338"/>
      <c r="G23" s="338"/>
      <c r="H23" s="338"/>
      <c r="I23" s="338">
        <v>70000000</v>
      </c>
      <c r="J23" s="339"/>
      <c r="K23" s="340">
        <v>70000000</v>
      </c>
    </row>
    <row r="24" spans="1:11" s="111" customFormat="1" ht="18.75" customHeight="1">
      <c r="A24" s="205" t="s">
        <v>298</v>
      </c>
      <c r="B24" s="355">
        <v>23</v>
      </c>
      <c r="C24" s="226"/>
      <c r="D24" s="319"/>
      <c r="E24" s="320">
        <v>-1000000000</v>
      </c>
      <c r="F24" s="338"/>
      <c r="G24" s="338"/>
      <c r="H24" s="338"/>
      <c r="I24" s="338"/>
      <c r="J24" s="339"/>
      <c r="K24" s="339">
        <v>-1000000000</v>
      </c>
    </row>
    <row r="25" spans="1:11" s="111" customFormat="1" ht="18.75" customHeight="1">
      <c r="A25" s="205" t="s">
        <v>299</v>
      </c>
      <c r="B25" s="355">
        <v>24</v>
      </c>
      <c r="C25" s="226"/>
      <c r="D25" s="335">
        <v>500000000</v>
      </c>
      <c r="E25" s="320"/>
      <c r="F25" s="344">
        <v>1000000000</v>
      </c>
      <c r="G25" s="344">
        <v>5000000000</v>
      </c>
      <c r="H25" s="344"/>
      <c r="I25" s="344">
        <v>1000000000</v>
      </c>
      <c r="J25" s="344">
        <f>H25+D25+F25</f>
        <v>1500000000</v>
      </c>
      <c r="K25" s="344">
        <v>6000000000</v>
      </c>
    </row>
    <row r="26" spans="1:11" s="111" customFormat="1" ht="18.75" customHeight="1">
      <c r="A26" s="205" t="s">
        <v>300</v>
      </c>
      <c r="B26" s="355">
        <v>25</v>
      </c>
      <c r="C26" s="226"/>
      <c r="D26" s="319"/>
      <c r="E26" s="320"/>
      <c r="F26" s="338"/>
      <c r="G26" s="338"/>
      <c r="H26" s="338"/>
      <c r="I26" s="338"/>
      <c r="J26" s="339"/>
      <c r="K26" s="340"/>
    </row>
    <row r="27" spans="1:11" s="111" customFormat="1" ht="18.75" customHeight="1">
      <c r="A27" s="205" t="s">
        <v>301</v>
      </c>
      <c r="B27" s="355">
        <v>26</v>
      </c>
      <c r="C27" s="226"/>
      <c r="D27" s="319"/>
      <c r="E27" s="320"/>
      <c r="F27" s="338"/>
      <c r="G27" s="338"/>
      <c r="H27" s="338"/>
      <c r="I27" s="338"/>
      <c r="J27" s="339"/>
      <c r="K27" s="340"/>
    </row>
    <row r="28" spans="1:11" s="111" customFormat="1" ht="18.75" customHeight="1">
      <c r="A28" s="205" t="s">
        <v>703</v>
      </c>
      <c r="B28" s="355">
        <v>27</v>
      </c>
      <c r="C28" s="226"/>
      <c r="D28" s="336">
        <v>68396314</v>
      </c>
      <c r="E28" s="336">
        <v>64186506</v>
      </c>
      <c r="F28" s="344">
        <v>95915950</v>
      </c>
      <c r="G28" s="344">
        <v>70692154</v>
      </c>
      <c r="H28" s="344">
        <v>88287413</v>
      </c>
      <c r="I28" s="344">
        <v>44712670</v>
      </c>
      <c r="J28" s="344">
        <f>H28+D28+F28</f>
        <v>252599677</v>
      </c>
      <c r="K28" s="344">
        <v>179591330</v>
      </c>
    </row>
    <row r="29" spans="1:11" s="111" customFormat="1" ht="18.75" customHeight="1">
      <c r="A29" s="206" t="s">
        <v>302</v>
      </c>
      <c r="B29" s="353">
        <v>30</v>
      </c>
      <c r="C29" s="225"/>
      <c r="D29" s="326">
        <f>SUM(D22:D28)</f>
        <v>376296314</v>
      </c>
      <c r="E29" s="321">
        <f>E22+E23+E24+E25+E26+E27+E28</f>
        <v>-3344542109</v>
      </c>
      <c r="F29" s="343">
        <f>F22+F23+F24+F25+F26+F27+F28</f>
        <v>-3479719014</v>
      </c>
      <c r="G29" s="342">
        <v>4155994038</v>
      </c>
      <c r="H29" s="343">
        <f>H22+H23+H24+H25+H26+H27+H28</f>
        <v>-8462751112</v>
      </c>
      <c r="I29" s="342">
        <v>1114712670</v>
      </c>
      <c r="J29" s="343">
        <f>J22+J23+J24+J25+J26+J27+J28</f>
        <v>-11566173812</v>
      </c>
      <c r="K29" s="342">
        <v>1926164599</v>
      </c>
    </row>
    <row r="30" spans="1:11" s="111" customFormat="1" ht="18.75" customHeight="1">
      <c r="A30" s="207" t="s">
        <v>303</v>
      </c>
      <c r="B30" s="354"/>
      <c r="C30" s="224"/>
      <c r="D30" s="319"/>
      <c r="E30" s="320"/>
      <c r="F30" s="338"/>
      <c r="G30" s="338"/>
      <c r="H30" s="338"/>
      <c r="I30" s="338"/>
      <c r="J30" s="339"/>
      <c r="K30" s="340"/>
    </row>
    <row r="31" spans="1:11" s="111" customFormat="1" ht="18.75" customHeight="1">
      <c r="A31" s="205" t="s">
        <v>304</v>
      </c>
      <c r="B31" s="355">
        <v>31</v>
      </c>
      <c r="C31" s="226"/>
      <c r="D31" s="319"/>
      <c r="E31" s="320"/>
      <c r="F31" s="338"/>
      <c r="G31" s="338"/>
      <c r="H31" s="338"/>
      <c r="I31" s="338"/>
      <c r="J31" s="339"/>
      <c r="K31" s="340"/>
    </row>
    <row r="32" spans="1:11" s="111" customFormat="1" ht="18.75" customHeight="1">
      <c r="A32" s="205" t="s">
        <v>328</v>
      </c>
      <c r="B32" s="355"/>
      <c r="C32" s="226"/>
      <c r="D32" s="319"/>
      <c r="E32" s="320"/>
      <c r="F32" s="338"/>
      <c r="G32" s="338"/>
      <c r="H32" s="338"/>
      <c r="I32" s="338"/>
      <c r="J32" s="339"/>
      <c r="K32" s="340"/>
    </row>
    <row r="33" spans="1:11" s="111" customFormat="1" ht="18.75" customHeight="1">
      <c r="A33" s="205" t="s">
        <v>702</v>
      </c>
      <c r="B33" s="355"/>
      <c r="C33" s="226"/>
      <c r="D33" s="319"/>
      <c r="E33" s="320"/>
      <c r="F33" s="338"/>
      <c r="G33" s="338"/>
      <c r="H33" s="338"/>
      <c r="I33" s="338"/>
      <c r="J33" s="339"/>
      <c r="K33" s="340"/>
    </row>
    <row r="34" spans="1:11" s="111" customFormat="1" ht="18.75" customHeight="1">
      <c r="A34" s="205" t="s">
        <v>305</v>
      </c>
      <c r="B34" s="355">
        <v>33</v>
      </c>
      <c r="C34" s="226"/>
      <c r="D34" s="319">
        <v>10280539219</v>
      </c>
      <c r="E34" s="320">
        <v>14203960050</v>
      </c>
      <c r="F34" s="337">
        <v>25062233915</v>
      </c>
      <c r="G34" s="338">
        <v>11937061278</v>
      </c>
      <c r="H34" s="337">
        <v>34735130681</v>
      </c>
      <c r="I34" s="338">
        <v>24475511792</v>
      </c>
      <c r="J34" s="344">
        <f>H34+D34+F34</f>
        <v>70077903815</v>
      </c>
      <c r="K34" s="339">
        <v>50616533120</v>
      </c>
    </row>
    <row r="35" spans="1:11" s="111" customFormat="1" ht="18.75" customHeight="1">
      <c r="A35" s="205" t="s">
        <v>306</v>
      </c>
      <c r="B35" s="355">
        <v>34</v>
      </c>
      <c r="C35" s="226"/>
      <c r="D35" s="319">
        <v>-19165044095</v>
      </c>
      <c r="E35" s="320">
        <v>-19457845310</v>
      </c>
      <c r="F35" s="340">
        <v>-15348945402</v>
      </c>
      <c r="G35" s="338">
        <v>-5523131935</v>
      </c>
      <c r="H35" s="413">
        <v>-14342619811</v>
      </c>
      <c r="I35" s="338">
        <v>-3383820187</v>
      </c>
      <c r="J35" s="339">
        <f>H35+D35+F35</f>
        <v>-48856609308</v>
      </c>
      <c r="K35" s="339">
        <v>-28364797432</v>
      </c>
    </row>
    <row r="36" spans="1:11" s="111" customFormat="1" ht="18.75" customHeight="1">
      <c r="A36" s="205" t="s">
        <v>307</v>
      </c>
      <c r="B36" s="355">
        <v>35</v>
      </c>
      <c r="C36" s="226"/>
      <c r="D36" s="319"/>
      <c r="E36" s="320"/>
      <c r="F36" s="338"/>
      <c r="G36" s="338"/>
      <c r="H36" s="338"/>
      <c r="I36" s="338"/>
      <c r="J36" s="339"/>
      <c r="K36" s="339"/>
    </row>
    <row r="37" spans="1:11" s="111" customFormat="1" ht="18.75" customHeight="1">
      <c r="A37" s="205" t="s">
        <v>701</v>
      </c>
      <c r="B37" s="355">
        <v>36</v>
      </c>
      <c r="C37" s="226"/>
      <c r="D37" s="319">
        <v>-5430809400</v>
      </c>
      <c r="E37" s="320"/>
      <c r="F37" s="338"/>
      <c r="G37" s="338"/>
      <c r="H37" s="338"/>
      <c r="I37" s="338"/>
      <c r="J37" s="339">
        <f>H37+D37+F37</f>
        <v>-5430809400</v>
      </c>
      <c r="K37" s="339"/>
    </row>
    <row r="38" spans="1:11" s="111" customFormat="1" ht="18.75" customHeight="1">
      <c r="A38" s="206" t="s">
        <v>308</v>
      </c>
      <c r="B38" s="353">
        <v>40</v>
      </c>
      <c r="C38" s="225"/>
      <c r="D38" s="326">
        <f>SUM(D31:D37)</f>
        <v>-14315314276</v>
      </c>
      <c r="E38" s="322">
        <f>SUM(E31:E37)</f>
        <v>-5253885260</v>
      </c>
      <c r="F38" s="342">
        <f>SUM(F31:F37)</f>
        <v>9713288513</v>
      </c>
      <c r="G38" s="342">
        <v>6413929343</v>
      </c>
      <c r="H38" s="342">
        <f>SUM(H31:H37)</f>
        <v>20392510870</v>
      </c>
      <c r="I38" s="342">
        <v>21091691605</v>
      </c>
      <c r="J38" s="342">
        <f>SUM(J31:J37)</f>
        <v>15790485107</v>
      </c>
      <c r="K38" s="342">
        <f>SUM(K31:K37)</f>
        <v>22251735688</v>
      </c>
    </row>
    <row r="39" spans="1:11" s="111" customFormat="1" ht="18.75" customHeight="1">
      <c r="A39" s="207" t="s">
        <v>309</v>
      </c>
      <c r="B39" s="356">
        <v>50</v>
      </c>
      <c r="C39" s="227"/>
      <c r="D39" s="326">
        <f>D20+D29+D38</f>
        <v>-14011985287</v>
      </c>
      <c r="E39" s="323">
        <f>E38+E29+E20</f>
        <v>-607596729</v>
      </c>
      <c r="F39" s="345">
        <f>F38+F29+F20</f>
        <v>3674126142</v>
      </c>
      <c r="G39" s="342">
        <v>-11827233938</v>
      </c>
      <c r="H39" s="345">
        <f>H38+H29+H20</f>
        <v>3452440550</v>
      </c>
      <c r="I39" s="342">
        <v>-2110210637</v>
      </c>
      <c r="J39" s="345">
        <f>J38+J29+J20</f>
        <v>-6885418595</v>
      </c>
      <c r="K39" s="345">
        <v>-14545041304</v>
      </c>
    </row>
    <row r="40" spans="1:11" s="111" customFormat="1" ht="18.75" customHeight="1">
      <c r="A40" s="207" t="s">
        <v>310</v>
      </c>
      <c r="B40" s="356">
        <v>60</v>
      </c>
      <c r="C40" s="228"/>
      <c r="D40" s="277">
        <v>21771808130</v>
      </c>
      <c r="E40" s="325">
        <v>15958240452</v>
      </c>
      <c r="F40" s="346">
        <v>7759822843</v>
      </c>
      <c r="G40" s="347">
        <v>15350643723</v>
      </c>
      <c r="H40" s="346">
        <v>11433948985</v>
      </c>
      <c r="I40" s="347">
        <v>3523409785</v>
      </c>
      <c r="J40" s="346">
        <v>21771808130</v>
      </c>
      <c r="K40" s="348">
        <v>15958240452</v>
      </c>
    </row>
    <row r="41" spans="1:11" s="111" customFormat="1" ht="18.75" customHeight="1">
      <c r="A41" s="220" t="s">
        <v>321</v>
      </c>
      <c r="B41" s="355">
        <v>61</v>
      </c>
      <c r="C41" s="226"/>
      <c r="D41" s="319"/>
      <c r="E41" s="321"/>
      <c r="F41" s="349"/>
      <c r="G41" s="349"/>
      <c r="H41" s="349"/>
      <c r="I41" s="349"/>
      <c r="J41" s="339"/>
      <c r="K41" s="343"/>
    </row>
    <row r="42" spans="1:11" s="111" customFormat="1" ht="18.75" customHeight="1">
      <c r="A42" s="208" t="s">
        <v>311</v>
      </c>
      <c r="B42" s="357">
        <v>70</v>
      </c>
      <c r="C42" s="229" t="s">
        <v>312</v>
      </c>
      <c r="D42" s="324">
        <f>SUM(D39:D41)</f>
        <v>7759822843</v>
      </c>
      <c r="E42" s="324">
        <f>SUM(E39:E41)</f>
        <v>15350643723</v>
      </c>
      <c r="F42" s="351">
        <f>SUM(F39:F41)</f>
        <v>11433948985</v>
      </c>
      <c r="G42" s="350">
        <v>3523409785</v>
      </c>
      <c r="H42" s="351">
        <f>SUM(H39:H41)</f>
        <v>14886389535</v>
      </c>
      <c r="I42" s="350">
        <v>1413199148</v>
      </c>
      <c r="J42" s="351">
        <f>SUM(J39:J41)</f>
        <v>14886389535</v>
      </c>
      <c r="K42" s="351">
        <v>1413199148</v>
      </c>
    </row>
    <row r="43" ht="9" customHeight="1">
      <c r="M43" s="240"/>
    </row>
    <row r="44" spans="1:11" s="195" customFormat="1" ht="20.25" customHeight="1">
      <c r="A44" s="196"/>
      <c r="B44" s="197"/>
      <c r="C44" s="198"/>
      <c r="D44" s="198"/>
      <c r="E44" s="198"/>
      <c r="F44" s="198"/>
      <c r="G44" s="198"/>
      <c r="H44" s="249"/>
      <c r="I44" s="457" t="s">
        <v>700</v>
      </c>
      <c r="J44" s="457"/>
      <c r="K44" s="457"/>
    </row>
    <row r="45" spans="1:11" s="34" customFormat="1" ht="16.5" customHeight="1">
      <c r="A45" s="190" t="s">
        <v>379</v>
      </c>
      <c r="B45" s="190"/>
      <c r="C45" s="190"/>
      <c r="D45" s="190"/>
      <c r="E45" s="190"/>
      <c r="F45" s="190"/>
      <c r="G45" s="190"/>
      <c r="H45" s="250"/>
      <c r="I45" s="250"/>
      <c r="J45" s="250"/>
      <c r="K45" s="250"/>
    </row>
    <row r="46" spans="1:11" s="34" customFormat="1" ht="13.5" customHeight="1">
      <c r="A46" s="176"/>
      <c r="B46" s="177"/>
      <c r="C46" s="177"/>
      <c r="D46" s="177"/>
      <c r="E46" s="177"/>
      <c r="F46" s="177"/>
      <c r="G46" s="177"/>
      <c r="H46" s="456"/>
      <c r="I46" s="456"/>
      <c r="J46" s="456"/>
      <c r="K46" s="456"/>
    </row>
    <row r="47" spans="1:7" ht="13.5" customHeight="1">
      <c r="A47" s="178"/>
      <c r="B47" s="174"/>
      <c r="C47" s="174"/>
      <c r="D47" s="174"/>
      <c r="E47" s="174"/>
      <c r="F47" s="174"/>
      <c r="G47" s="174"/>
    </row>
    <row r="48" spans="1:7" ht="15.75">
      <c r="A48" s="178"/>
      <c r="B48" s="174"/>
      <c r="C48" s="174"/>
      <c r="D48" s="174"/>
      <c r="E48" s="174"/>
      <c r="F48" s="174"/>
      <c r="G48" s="174"/>
    </row>
    <row r="49" spans="1:7" ht="15.75">
      <c r="A49" s="178"/>
      <c r="B49" s="174"/>
      <c r="C49" s="174"/>
      <c r="D49" s="174"/>
      <c r="E49" s="174"/>
      <c r="F49" s="174"/>
      <c r="G49" s="174"/>
    </row>
    <row r="50" spans="1:7" ht="13.5" customHeight="1">
      <c r="A50" s="178"/>
      <c r="B50" s="174"/>
      <c r="C50" s="174"/>
      <c r="D50" s="174"/>
      <c r="E50" s="174"/>
      <c r="F50" s="174"/>
      <c r="G50" s="174"/>
    </row>
    <row r="51" spans="1:12" s="128" customFormat="1" ht="15">
      <c r="A51" s="200" t="s">
        <v>380</v>
      </c>
      <c r="B51" s="200"/>
      <c r="C51" s="200"/>
      <c r="D51" s="200"/>
      <c r="E51" s="200"/>
      <c r="F51" s="200"/>
      <c r="G51" s="200"/>
      <c r="H51" s="251"/>
      <c r="I51" s="251"/>
      <c r="J51" s="251"/>
      <c r="K51" s="251"/>
      <c r="L51" s="200"/>
    </row>
  </sheetData>
  <sheetProtection/>
  <mergeCells count="19">
    <mergeCell ref="C9:C10"/>
    <mergeCell ref="H46:I46"/>
    <mergeCell ref="H8:I8"/>
    <mergeCell ref="I44:K44"/>
    <mergeCell ref="F9:G9"/>
    <mergeCell ref="J46:K46"/>
    <mergeCell ref="J9:K9"/>
    <mergeCell ref="H9:I9"/>
    <mergeCell ref="D9:E9"/>
    <mergeCell ref="B9:B10"/>
    <mergeCell ref="J1:K1"/>
    <mergeCell ref="J2:K2"/>
    <mergeCell ref="J3:K3"/>
    <mergeCell ref="A5:K5"/>
    <mergeCell ref="H1:I1"/>
    <mergeCell ref="H2:I2"/>
    <mergeCell ref="A6:K6"/>
    <mergeCell ref="A7:K7"/>
    <mergeCell ref="J8:K8"/>
  </mergeCells>
  <printOptions/>
  <pageMargins left="0.67" right="0.31" top="0.25" bottom="0.23" header="0.22" footer="0.17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3">
      <selection activeCell="A1" sqref="A1"/>
    </sheetView>
  </sheetViews>
  <sheetFormatPr defaultColWidth="9.00390625" defaultRowHeight="12.75"/>
  <cols>
    <col min="2" max="2" width="45.25390625" style="0" customWidth="1"/>
    <col min="3" max="4" width="20.625" style="0" customWidth="1"/>
    <col min="6" max="6" width="19.875" style="0" customWidth="1"/>
    <col min="8" max="8" width="12.00390625" style="0" bestFit="1" customWidth="1"/>
  </cols>
  <sheetData>
    <row r="1" spans="1:4" ht="17.25">
      <c r="A1" s="385"/>
      <c r="B1" s="465" t="s">
        <v>714</v>
      </c>
      <c r="C1" s="465"/>
      <c r="D1" s="387" t="s">
        <v>612</v>
      </c>
    </row>
    <row r="2" spans="1:4" ht="17.25">
      <c r="A2" s="386"/>
      <c r="B2" s="466" t="s">
        <v>713</v>
      </c>
      <c r="C2" s="466"/>
      <c r="D2" s="2"/>
    </row>
    <row r="3" spans="1:4" ht="18">
      <c r="A3" s="389"/>
      <c r="B3" s="467" t="s">
        <v>712</v>
      </c>
      <c r="C3" s="467"/>
      <c r="D3" s="467"/>
    </row>
    <row r="4" spans="1:4" ht="18">
      <c r="A4" s="390"/>
      <c r="B4" s="388"/>
      <c r="C4" s="388"/>
      <c r="D4" s="388"/>
    </row>
    <row r="5" spans="1:4" ht="21.75">
      <c r="A5" s="468" t="s">
        <v>613</v>
      </c>
      <c r="B5" s="468"/>
      <c r="C5" s="468"/>
      <c r="D5" s="468"/>
    </row>
    <row r="6" spans="1:4" ht="15.75">
      <c r="A6" s="431" t="s">
        <v>681</v>
      </c>
      <c r="B6" s="431"/>
      <c r="C6" s="431"/>
      <c r="D6" s="431"/>
    </row>
    <row r="7" spans="1:4" ht="15.75">
      <c r="A7" s="266"/>
      <c r="B7" s="266"/>
      <c r="C7" s="266"/>
      <c r="D7" s="266"/>
    </row>
    <row r="8" spans="1:4" ht="17.25">
      <c r="A8" s="464" t="s">
        <v>614</v>
      </c>
      <c r="B8" s="464"/>
      <c r="C8" s="464"/>
      <c r="D8" s="464" t="s">
        <v>13</v>
      </c>
    </row>
    <row r="9" spans="1:4" ht="19.5" customHeight="1">
      <c r="A9" s="14" t="s">
        <v>615</v>
      </c>
      <c r="B9" s="15" t="s">
        <v>616</v>
      </c>
      <c r="C9" s="391" t="s">
        <v>617</v>
      </c>
      <c r="D9" s="391" t="s">
        <v>618</v>
      </c>
    </row>
    <row r="10" spans="1:4" ht="20.25" customHeight="1">
      <c r="A10" s="392" t="s">
        <v>619</v>
      </c>
      <c r="B10" s="18" t="s">
        <v>620</v>
      </c>
      <c r="C10" s="18">
        <f>SUM(C11:C15)</f>
        <v>133235399334</v>
      </c>
      <c r="D10" s="18">
        <f>SUM(D11:D15)</f>
        <v>174413946206</v>
      </c>
    </row>
    <row r="11" spans="1:4" ht="20.25" customHeight="1">
      <c r="A11" s="21">
        <v>1</v>
      </c>
      <c r="B11" s="10" t="s">
        <v>621</v>
      </c>
      <c r="C11" s="10">
        <v>11433948985</v>
      </c>
      <c r="D11" s="10">
        <f>CDKT!D9</f>
        <v>14886389535</v>
      </c>
    </row>
    <row r="12" spans="1:4" ht="20.25" customHeight="1">
      <c r="A12" s="21">
        <v>2</v>
      </c>
      <c r="B12" s="10" t="s">
        <v>622</v>
      </c>
      <c r="C12" s="10">
        <v>0</v>
      </c>
      <c r="D12" s="10">
        <v>0</v>
      </c>
    </row>
    <row r="13" spans="1:4" ht="20.25" customHeight="1">
      <c r="A13" s="21">
        <v>3</v>
      </c>
      <c r="B13" s="10" t="s">
        <v>623</v>
      </c>
      <c r="C13" s="10">
        <v>41672100422</v>
      </c>
      <c r="D13" s="10">
        <f>CDKT!D15</f>
        <v>48767618851</v>
      </c>
    </row>
    <row r="14" spans="1:4" ht="20.25" customHeight="1">
      <c r="A14" s="21">
        <v>4</v>
      </c>
      <c r="B14" s="10" t="s">
        <v>624</v>
      </c>
      <c r="C14" s="10">
        <v>75799621829</v>
      </c>
      <c r="D14" s="10">
        <f>CDKT!D22</f>
        <v>103574552064</v>
      </c>
    </row>
    <row r="15" spans="1:4" ht="20.25" customHeight="1">
      <c r="A15" s="21">
        <v>5</v>
      </c>
      <c r="B15" s="10" t="s">
        <v>625</v>
      </c>
      <c r="C15" s="10">
        <v>4329728098</v>
      </c>
      <c r="D15" s="10">
        <f>CDKT!D25</f>
        <v>7185385756</v>
      </c>
    </row>
    <row r="16" spans="1:4" ht="20.25" customHeight="1">
      <c r="A16" s="19" t="s">
        <v>626</v>
      </c>
      <c r="B16" s="20" t="s">
        <v>627</v>
      </c>
      <c r="C16" s="20">
        <f>C18+C25</f>
        <v>62447270242</v>
      </c>
      <c r="D16" s="20">
        <f>D18+D25</f>
        <v>72531792635.01367</v>
      </c>
    </row>
    <row r="17" spans="1:4" ht="20.25" customHeight="1">
      <c r="A17" s="21">
        <v>1</v>
      </c>
      <c r="B17" s="10" t="s">
        <v>628</v>
      </c>
      <c r="C17" s="10"/>
      <c r="D17" s="10"/>
    </row>
    <row r="18" spans="1:4" ht="20.25" customHeight="1">
      <c r="A18" s="21">
        <v>2</v>
      </c>
      <c r="B18" s="10" t="s">
        <v>629</v>
      </c>
      <c r="C18" s="10">
        <f>SUM(C19:C22)</f>
        <v>61582525357</v>
      </c>
      <c r="D18" s="10">
        <f>SUM(D19:D22)</f>
        <v>71835041968</v>
      </c>
    </row>
    <row r="19" spans="1:4" ht="20.25" customHeight="1">
      <c r="A19" s="21"/>
      <c r="B19" s="91" t="s">
        <v>630</v>
      </c>
      <c r="C19" s="12">
        <v>59275600132</v>
      </c>
      <c r="D19" s="12">
        <f>CDKT!D38</f>
        <v>58990677733</v>
      </c>
    </row>
    <row r="20" spans="1:4" ht="20.25" customHeight="1">
      <c r="A20" s="21"/>
      <c r="B20" s="91" t="s">
        <v>631</v>
      </c>
      <c r="C20" s="12">
        <v>1961294138</v>
      </c>
      <c r="D20" s="12">
        <f>CDKT!D44</f>
        <v>1920541097</v>
      </c>
    </row>
    <row r="21" spans="1:4" ht="20.25" customHeight="1" hidden="1">
      <c r="A21" s="21"/>
      <c r="B21" s="91" t="s">
        <v>632</v>
      </c>
      <c r="C21" s="12"/>
      <c r="D21" s="12"/>
    </row>
    <row r="22" spans="1:4" ht="20.25" customHeight="1">
      <c r="A22" s="21"/>
      <c r="B22" s="91" t="s">
        <v>633</v>
      </c>
      <c r="C22" s="12">
        <v>345631087</v>
      </c>
      <c r="D22" s="12">
        <f>CDKT!D47</f>
        <v>10923823138</v>
      </c>
    </row>
    <row r="23" spans="1:4" ht="20.25" customHeight="1">
      <c r="A23" s="21">
        <v>3</v>
      </c>
      <c r="B23" s="10" t="s">
        <v>634</v>
      </c>
      <c r="C23" s="10"/>
      <c r="D23" s="10"/>
    </row>
    <row r="24" spans="1:4" ht="20.25" customHeight="1">
      <c r="A24" s="21">
        <v>4</v>
      </c>
      <c r="B24" s="10" t="s">
        <v>635</v>
      </c>
      <c r="C24" s="10"/>
      <c r="D24" s="10"/>
    </row>
    <row r="25" spans="1:4" ht="20.25" customHeight="1">
      <c r="A25" s="21">
        <v>5</v>
      </c>
      <c r="B25" s="10" t="s">
        <v>636</v>
      </c>
      <c r="C25" s="10">
        <v>864744885</v>
      </c>
      <c r="D25" s="10">
        <f>CDKT!D56</f>
        <v>696750667.0136719</v>
      </c>
    </row>
    <row r="26" spans="1:4" ht="20.25" customHeight="1">
      <c r="A26" s="393" t="s">
        <v>637</v>
      </c>
      <c r="B26" s="394" t="s">
        <v>638</v>
      </c>
      <c r="C26" s="394">
        <f>C16+C10</f>
        <v>195682669576</v>
      </c>
      <c r="D26" s="394">
        <f>D16+D10</f>
        <v>246945738841.01367</v>
      </c>
    </row>
    <row r="27" spans="1:4" ht="20.25" customHeight="1">
      <c r="A27" s="19" t="s">
        <v>639</v>
      </c>
      <c r="B27" s="20" t="s">
        <v>640</v>
      </c>
      <c r="C27" s="20">
        <f>C28+C29</f>
        <v>129030903561</v>
      </c>
      <c r="D27" s="20">
        <f>D28+D29</f>
        <v>177086863679</v>
      </c>
    </row>
    <row r="28" spans="1:4" ht="20.25" customHeight="1">
      <c r="A28" s="21">
        <v>1</v>
      </c>
      <c r="B28" s="10" t="s">
        <v>641</v>
      </c>
      <c r="C28" s="10">
        <v>128430903561</v>
      </c>
      <c r="D28" s="10">
        <v>176486863679</v>
      </c>
    </row>
    <row r="29" spans="1:4" ht="20.25" customHeight="1">
      <c r="A29" s="21">
        <v>2</v>
      </c>
      <c r="B29" s="10" t="s">
        <v>642</v>
      </c>
      <c r="C29" s="10">
        <v>600000000</v>
      </c>
      <c r="D29" s="10">
        <v>600000000</v>
      </c>
    </row>
    <row r="30" spans="1:4" ht="20.25" customHeight="1">
      <c r="A30" s="19" t="s">
        <v>643</v>
      </c>
      <c r="B30" s="20" t="s">
        <v>644</v>
      </c>
      <c r="C30" s="20">
        <f>C31+C42</f>
        <v>66651766015</v>
      </c>
      <c r="D30" s="20">
        <f>D31+D42</f>
        <v>69858875162</v>
      </c>
    </row>
    <row r="31" spans="1:4" ht="20.25" customHeight="1">
      <c r="A31" s="21">
        <v>1</v>
      </c>
      <c r="B31" s="10" t="s">
        <v>644</v>
      </c>
      <c r="C31" s="10">
        <f>C32+C33+C35+C40</f>
        <v>55273426902</v>
      </c>
      <c r="D31" s="10">
        <f>D32+D33+D35+D40</f>
        <v>57634169612</v>
      </c>
    </row>
    <row r="32" spans="1:4" ht="20.25" customHeight="1">
      <c r="A32" s="21"/>
      <c r="B32" s="91" t="s">
        <v>645</v>
      </c>
      <c r="C32" s="12">
        <v>27586800000</v>
      </c>
      <c r="D32" s="12">
        <v>27586800000</v>
      </c>
    </row>
    <row r="33" spans="1:4" ht="20.25" customHeight="1">
      <c r="A33" s="21"/>
      <c r="B33" s="91" t="s">
        <v>646</v>
      </c>
      <c r="C33" s="12">
        <v>4121612131</v>
      </c>
      <c r="D33" s="12">
        <v>4121612131</v>
      </c>
    </row>
    <row r="34" spans="1:4" ht="20.25" customHeight="1">
      <c r="A34" s="21"/>
      <c r="B34" s="91" t="s">
        <v>647</v>
      </c>
      <c r="C34" s="12">
        <v>0</v>
      </c>
      <c r="D34" s="12">
        <v>0</v>
      </c>
    </row>
    <row r="35" spans="1:4" ht="20.25" customHeight="1">
      <c r="A35" s="21"/>
      <c r="B35" s="91" t="s">
        <v>648</v>
      </c>
      <c r="C35" s="12">
        <v>12755505854</v>
      </c>
      <c r="D35" s="12">
        <v>12755505854</v>
      </c>
    </row>
    <row r="36" spans="1:4" ht="20.25" customHeight="1" hidden="1">
      <c r="A36" s="21"/>
      <c r="B36" s="91" t="s">
        <v>649</v>
      </c>
      <c r="C36" s="12"/>
      <c r="D36" s="12"/>
    </row>
    <row r="37" spans="1:4" ht="20.25" customHeight="1" hidden="1">
      <c r="A37" s="21"/>
      <c r="B37" s="91" t="s">
        <v>650</v>
      </c>
      <c r="C37" s="12"/>
      <c r="D37" s="12"/>
    </row>
    <row r="38" spans="1:4" ht="20.25" customHeight="1" hidden="1">
      <c r="A38" s="21"/>
      <c r="B38" s="91" t="s">
        <v>647</v>
      </c>
      <c r="C38" s="12"/>
      <c r="D38" s="12"/>
    </row>
    <row r="39" spans="1:4" ht="20.25" customHeight="1" hidden="1">
      <c r="A39" s="21"/>
      <c r="B39" s="91" t="s">
        <v>651</v>
      </c>
      <c r="C39" s="12"/>
      <c r="D39" s="12"/>
    </row>
    <row r="40" spans="1:4" ht="20.25" customHeight="1">
      <c r="A40" s="21"/>
      <c r="B40" s="91" t="s">
        <v>652</v>
      </c>
      <c r="C40" s="12">
        <v>10809508917</v>
      </c>
      <c r="D40" s="12">
        <v>13170251627</v>
      </c>
    </row>
    <row r="41" spans="1:4" ht="20.25" customHeight="1" hidden="1">
      <c r="A41" s="21"/>
      <c r="B41" s="91" t="s">
        <v>653</v>
      </c>
      <c r="C41" s="12"/>
      <c r="D41" s="12"/>
    </row>
    <row r="42" spans="1:4" ht="20.25" customHeight="1">
      <c r="A42" s="21">
        <v>2</v>
      </c>
      <c r="B42" s="10" t="s">
        <v>654</v>
      </c>
      <c r="C42" s="10">
        <f>C43+C44</f>
        <v>11378339113</v>
      </c>
      <c r="D42" s="10">
        <f>D43+D44</f>
        <v>12224705550</v>
      </c>
    </row>
    <row r="43" spans="1:4" ht="20.25" customHeight="1">
      <c r="A43" s="21"/>
      <c r="B43" s="91" t="s">
        <v>655</v>
      </c>
      <c r="C43" s="12">
        <v>11378339113</v>
      </c>
      <c r="D43" s="12">
        <f>11613564250</f>
        <v>11613564250</v>
      </c>
    </row>
    <row r="44" spans="1:4" ht="20.25" customHeight="1">
      <c r="A44" s="21"/>
      <c r="B44" s="91" t="s">
        <v>656</v>
      </c>
      <c r="C44" s="12"/>
      <c r="D44" s="12">
        <f>611141300</f>
        <v>611141300</v>
      </c>
    </row>
    <row r="45" spans="1:4" ht="20.25" customHeight="1">
      <c r="A45" s="395" t="s">
        <v>657</v>
      </c>
      <c r="B45" s="396" t="s">
        <v>658</v>
      </c>
      <c r="C45" s="396">
        <f>C30+C27</f>
        <v>195682669576</v>
      </c>
      <c r="D45" s="396">
        <f>D30+D27</f>
        <v>246945738841</v>
      </c>
    </row>
    <row r="46" spans="1:4" ht="20.25" customHeight="1">
      <c r="A46" s="397"/>
      <c r="B46" s="398"/>
      <c r="C46" s="398"/>
      <c r="D46" s="398"/>
    </row>
    <row r="47" spans="1:4" ht="20.25" customHeight="1">
      <c r="A47" s="419" t="s">
        <v>659</v>
      </c>
      <c r="B47" s="399" t="s">
        <v>660</v>
      </c>
      <c r="C47" s="2"/>
      <c r="D47" s="2"/>
    </row>
    <row r="48" spans="1:4" ht="20.25" customHeight="1">
      <c r="A48" s="14" t="s">
        <v>615</v>
      </c>
      <c r="B48" s="15" t="s">
        <v>616</v>
      </c>
      <c r="C48" s="15" t="s">
        <v>710</v>
      </c>
      <c r="D48" s="15" t="s">
        <v>661</v>
      </c>
    </row>
    <row r="49" spans="1:4" ht="20.25" customHeight="1">
      <c r="A49" s="253">
        <v>1</v>
      </c>
      <c r="B49" s="9" t="s">
        <v>662</v>
      </c>
      <c r="C49" s="9">
        <f>KQKD!H10</f>
        <v>55818446185</v>
      </c>
      <c r="D49" s="9">
        <v>173386697367</v>
      </c>
    </row>
    <row r="50" spans="1:4" ht="20.25" customHeight="1">
      <c r="A50" s="21">
        <v>2</v>
      </c>
      <c r="B50" s="10" t="s">
        <v>663</v>
      </c>
      <c r="C50" s="10">
        <f>KQKD!H11</f>
        <v>1818182</v>
      </c>
      <c r="D50" s="9">
        <v>339077109</v>
      </c>
    </row>
    <row r="51" spans="1:4" ht="20.25" customHeight="1">
      <c r="A51" s="21">
        <v>3</v>
      </c>
      <c r="B51" s="10" t="s">
        <v>664</v>
      </c>
      <c r="C51" s="10">
        <v>55816628003</v>
      </c>
      <c r="D51" s="9">
        <v>173047620258</v>
      </c>
    </row>
    <row r="52" spans="1:4" ht="20.25" customHeight="1">
      <c r="A52" s="21">
        <v>4</v>
      </c>
      <c r="B52" s="10" t="s">
        <v>665</v>
      </c>
      <c r="C52" s="10">
        <v>44072768070</v>
      </c>
      <c r="D52" s="10">
        <v>131588422426</v>
      </c>
    </row>
    <row r="53" spans="1:4" ht="20.25" customHeight="1">
      <c r="A53" s="21">
        <v>5</v>
      </c>
      <c r="B53" s="10" t="s">
        <v>666</v>
      </c>
      <c r="C53" s="10">
        <v>11743859933</v>
      </c>
      <c r="D53" s="10">
        <v>41459197832</v>
      </c>
    </row>
    <row r="54" spans="1:4" ht="20.25" customHeight="1">
      <c r="A54" s="21">
        <v>6</v>
      </c>
      <c r="B54" s="10" t="s">
        <v>667</v>
      </c>
      <c r="C54" s="10">
        <v>89704080</v>
      </c>
      <c r="D54" s="10">
        <v>254016344</v>
      </c>
    </row>
    <row r="55" spans="1:4" ht="20.25" customHeight="1">
      <c r="A55" s="21">
        <v>7</v>
      </c>
      <c r="B55" s="10" t="s">
        <v>668</v>
      </c>
      <c r="C55" s="10">
        <v>1079497461</v>
      </c>
      <c r="D55" s="10">
        <v>2755102872</v>
      </c>
    </row>
    <row r="56" spans="1:4" ht="20.25" customHeight="1">
      <c r="A56" s="21">
        <v>8</v>
      </c>
      <c r="B56" s="10" t="s">
        <v>669</v>
      </c>
      <c r="C56" s="10">
        <v>3419084760</v>
      </c>
      <c r="D56" s="10">
        <v>14969918133</v>
      </c>
    </row>
    <row r="57" spans="1:4" ht="20.25" customHeight="1">
      <c r="A57" s="21">
        <v>9</v>
      </c>
      <c r="B57" s="10" t="s">
        <v>670</v>
      </c>
      <c r="C57" s="10">
        <v>4248822690</v>
      </c>
      <c r="D57" s="10">
        <v>13384413874</v>
      </c>
    </row>
    <row r="58" spans="1:4" ht="20.25" customHeight="1">
      <c r="A58" s="21">
        <v>10</v>
      </c>
      <c r="B58" s="10" t="s">
        <v>671</v>
      </c>
      <c r="C58" s="10">
        <v>3086159102</v>
      </c>
      <c r="D58" s="10">
        <v>10603779297</v>
      </c>
    </row>
    <row r="59" spans="1:4" ht="20.25" customHeight="1">
      <c r="A59" s="21">
        <v>11</v>
      </c>
      <c r="B59" s="10" t="s">
        <v>672</v>
      </c>
      <c r="C59" s="10">
        <v>1818180</v>
      </c>
      <c r="D59" s="27">
        <v>14363968</v>
      </c>
    </row>
    <row r="60" spans="1:4" ht="20.25" customHeight="1">
      <c r="A60" s="21">
        <v>12</v>
      </c>
      <c r="B60" s="10" t="s">
        <v>673</v>
      </c>
      <c r="C60" s="10">
        <v>61384064</v>
      </c>
      <c r="D60" s="27">
        <v>295550054</v>
      </c>
    </row>
    <row r="61" spans="1:6" ht="20.25" customHeight="1">
      <c r="A61" s="21">
        <v>13</v>
      </c>
      <c r="B61" s="10" t="s">
        <v>674</v>
      </c>
      <c r="C61" s="28">
        <v>-59565884</v>
      </c>
      <c r="D61" s="28">
        <v>-281186086</v>
      </c>
      <c r="F61" s="36"/>
    </row>
    <row r="62" spans="1:4" ht="20.25" customHeight="1">
      <c r="A62" s="21">
        <v>14</v>
      </c>
      <c r="B62" s="10" t="s">
        <v>675</v>
      </c>
      <c r="C62" s="10">
        <v>3026593218</v>
      </c>
      <c r="D62" s="10">
        <v>10322593211</v>
      </c>
    </row>
    <row r="63" spans="1:4" ht="20.25" customHeight="1">
      <c r="A63" s="21">
        <v>15</v>
      </c>
      <c r="B63" s="10" t="s">
        <v>676</v>
      </c>
      <c r="C63" s="10">
        <v>665850508</v>
      </c>
      <c r="D63" s="10">
        <f>2167902324+103068182</f>
        <v>2270970506</v>
      </c>
    </row>
    <row r="64" spans="1:8" ht="20.25" customHeight="1">
      <c r="A64" s="21">
        <v>16</v>
      </c>
      <c r="B64" s="10" t="s">
        <v>677</v>
      </c>
      <c r="C64" s="10">
        <f>C62-C63</f>
        <v>2360742710</v>
      </c>
      <c r="D64" s="10">
        <f>D62-D63</f>
        <v>8051622705</v>
      </c>
      <c r="H64" s="36"/>
    </row>
    <row r="65" spans="1:4" ht="20.25" customHeight="1">
      <c r="A65" s="21">
        <v>17</v>
      </c>
      <c r="B65" s="10" t="s">
        <v>678</v>
      </c>
      <c r="C65" s="400">
        <v>856</v>
      </c>
      <c r="D65" s="400">
        <v>2919</v>
      </c>
    </row>
    <row r="66" spans="1:4" ht="20.25" customHeight="1">
      <c r="A66" s="401">
        <v>18</v>
      </c>
      <c r="B66" s="57" t="s">
        <v>679</v>
      </c>
      <c r="C66" s="402">
        <v>500</v>
      </c>
      <c r="D66" s="402">
        <v>1500</v>
      </c>
    </row>
    <row r="67" spans="1:4" ht="15">
      <c r="A67" s="2"/>
      <c r="B67" s="2"/>
      <c r="C67" s="2"/>
      <c r="D67" s="2"/>
    </row>
    <row r="68" spans="1:4" ht="15.75">
      <c r="A68" s="2"/>
      <c r="B68" s="2"/>
      <c r="C68" s="8" t="s">
        <v>711</v>
      </c>
      <c r="D68" s="2"/>
    </row>
    <row r="69" spans="1:4" ht="15.75">
      <c r="A69" s="2"/>
      <c r="B69" s="2"/>
      <c r="C69" s="403" t="s">
        <v>680</v>
      </c>
      <c r="D69" s="2"/>
    </row>
    <row r="70" spans="1:4" ht="15.75">
      <c r="A70" s="2"/>
      <c r="B70" s="2"/>
      <c r="C70" s="403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</sheetData>
  <sheetProtection/>
  <mergeCells count="6">
    <mergeCell ref="A6:D6"/>
    <mergeCell ref="A8:D8"/>
    <mergeCell ref="B1:C1"/>
    <mergeCell ref="B2:C2"/>
    <mergeCell ref="B3:D3"/>
    <mergeCell ref="A5:D5"/>
  </mergeCells>
  <printOptions/>
  <pageMargins left="0.92" right="0.52" top="0.41" bottom="0.27" header="0.3" footer="0.3"/>
  <pageSetup horizontalDpi="600" verticalDpi="600" orientation="portrait" paperSize="9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 Tung Hiep</dc:creator>
  <cp:keywords/>
  <dc:description/>
  <cp:lastModifiedBy>Office</cp:lastModifiedBy>
  <cp:lastPrinted>2014-10-10T02:31:52Z</cp:lastPrinted>
  <dcterms:created xsi:type="dcterms:W3CDTF">2009-07-07T02:41:51Z</dcterms:created>
  <dcterms:modified xsi:type="dcterms:W3CDTF">2014-10-20T08:14:15Z</dcterms:modified>
  <cp:category/>
  <cp:version/>
  <cp:contentType/>
  <cp:contentStatus/>
</cp:coreProperties>
</file>